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kuleuven-my.sharepoint.com/personal/dominik_bongartz_kuleuven_be/Documents/Misc/Committees/EURECHA/Student contest/PDC 2026/8_Publication_Winners/Master_2nd_Delft/"/>
    </mc:Choice>
  </mc:AlternateContent>
  <xr:revisionPtr revIDLastSave="9459" documentId="8_{8E5B0F2E-6875-4284-A322-45B492850747}" xr6:coauthVersionLast="47" xr6:coauthVersionMax="47" xr10:uidLastSave="{DAE734A4-6405-4885-9959-3B33A3CB1911}"/>
  <bookViews>
    <workbookView xWindow="-57720" yWindow="-7440" windowWidth="29040" windowHeight="17520" xr2:uid="{EC84B619-BD03-4E3C-BB8A-CC304CAC09E1}"/>
  </bookViews>
  <sheets>
    <sheet name="Base operation parameters" sheetId="1" r:id="rId1"/>
    <sheet name="Literature comparison" sheetId="2" r:id="rId2"/>
    <sheet name="Electrolyzer" sheetId="3" r:id="rId3"/>
    <sheet name="KCl Elec" sheetId="5" r:id="rId4"/>
    <sheet name="Energy Integration" sheetId="10" r:id="rId5"/>
    <sheet name="Equipment list&amp;costing" sheetId="7" r:id="rId6"/>
    <sheet name="Economics" sheetId="8" r:id="rId7"/>
    <sheet name="KCH3COOH Electrodialysis" sheetId="4" r:id="rId8"/>
    <sheet name="CGCC" sheetId="19" r:id="rId9"/>
    <sheet name="CombinedFigures" sheetId="18" r:id="rId10"/>
  </sheets>
  <definedNames>
    <definedName name="BAUemissions">#REF!</definedName>
    <definedName name="CAPEX">#REF!</definedName>
    <definedName name="cashFlowHP_70C">#REF!</definedName>
    <definedName name="CO2_converted_per_unit_product">#REF!</definedName>
    <definedName name="discountedCF">#REF!</definedName>
    <definedName name="elec_th_comparison">#REF!</definedName>
    <definedName name="emissions">#REF!</definedName>
    <definedName name="emissions_extra">#REF!</definedName>
    <definedName name="energy_prod_steps">#REF!</definedName>
    <definedName name="Formic_acid_selling_price">#REF!</definedName>
    <definedName name="HPcompressorCost">#REF!</definedName>
    <definedName name="HPpayback">#REF!</definedName>
    <definedName name="HPperformance">#REF!</definedName>
    <definedName name="netCashFlow">#REF!</definedName>
    <definedName name="NPVsensitivity">#REF!</definedName>
    <definedName name="OPEX">#REF!</definedName>
    <definedName name="OPEX_extra">#REF!</definedName>
    <definedName name="opex_items">#REF!</definedName>
    <definedName name="optCostMap">#REF!</definedName>
    <definedName name="optVoltMap">#REF!</definedName>
    <definedName name="paybackTemperature">#REF!</definedName>
    <definedName name="polarisationCurve">#REF!</definedName>
    <definedName name="power_duties">#REF!</definedName>
    <definedName name="Prodcost">#REF!</definedName>
    <definedName name="prodRevenue">#REF!</definedName>
    <definedName name="RebDuty">#REF!</definedName>
    <definedName name="SA_E_W_V">#REF!</definedName>
    <definedName name="SA_P_W_CO">#REF!</definedName>
    <definedName name="SA_P_W_FE">#REF!</definedName>
    <definedName name="SA_SPC">#REF!</definedName>
    <definedName name="SA_total_cost">#REF!</definedName>
    <definedName name="SA_V_min_cost">#REF!</definedName>
    <definedName name="sankeyVal">#REF!</definedName>
    <definedName name="sankeyVal_noHP">#REF!</definedName>
    <definedName name="sens_HP_cost">#REF!</definedName>
    <definedName name="sens_noHP_cost">#REF!</definedName>
    <definedName name="solver_adj" localSheetId="6" hidden="1">Economics!$J$58</definedName>
    <definedName name="solver_adj" localSheetId="2" hidden="1">Electrolyzer!$E$130</definedName>
    <definedName name="solver_adj" localSheetId="3" hidden="1">'KCl Elec'!$C$26</definedName>
    <definedName name="solver_cvg" localSheetId="6" hidden="1">0.0001</definedName>
    <definedName name="solver_cvg" localSheetId="2" hidden="1">0.0001</definedName>
    <definedName name="solver_cvg" localSheetId="3" hidden="1">0.0001</definedName>
    <definedName name="solver_drv" localSheetId="6" hidden="1">1</definedName>
    <definedName name="solver_drv" localSheetId="2" hidden="1">1</definedName>
    <definedName name="solver_drv" localSheetId="3" hidden="1">1</definedName>
    <definedName name="solver_eng" localSheetId="6" hidden="1">1</definedName>
    <definedName name="solver_eng" localSheetId="2" hidden="1">1</definedName>
    <definedName name="solver_eng" localSheetId="3" hidden="1">1</definedName>
    <definedName name="solver_est" localSheetId="6" hidden="1">1</definedName>
    <definedName name="solver_est" localSheetId="2" hidden="1">1</definedName>
    <definedName name="solver_est" localSheetId="3" hidden="1">1</definedName>
    <definedName name="solver_itr" localSheetId="6" hidden="1">2147483647</definedName>
    <definedName name="solver_itr" localSheetId="2" hidden="1">2147483647</definedName>
    <definedName name="solver_itr" localSheetId="3" hidden="1">2147483647</definedName>
    <definedName name="solver_lhs1" localSheetId="2" hidden="1">Electrolyzer!$M$124</definedName>
    <definedName name="solver_lhs1" localSheetId="3" hidden="1">'KCl Elec'!$N$7</definedName>
    <definedName name="solver_mip" localSheetId="6" hidden="1">2147483647</definedName>
    <definedName name="solver_mip" localSheetId="2" hidden="1">2147483647</definedName>
    <definedName name="solver_mip" localSheetId="3" hidden="1">2147483647</definedName>
    <definedName name="solver_mni" localSheetId="6" hidden="1">30</definedName>
    <definedName name="solver_mni" localSheetId="2" hidden="1">30</definedName>
    <definedName name="solver_mni" localSheetId="3" hidden="1">30</definedName>
    <definedName name="solver_mrt" localSheetId="6" hidden="1">0.075</definedName>
    <definedName name="solver_mrt" localSheetId="2" hidden="1">0.075</definedName>
    <definedName name="solver_mrt" localSheetId="3" hidden="1">0.075</definedName>
    <definedName name="solver_msl" localSheetId="6" hidden="1">2</definedName>
    <definedName name="solver_msl" localSheetId="2" hidden="1">2</definedName>
    <definedName name="solver_msl" localSheetId="3" hidden="1">2</definedName>
    <definedName name="solver_neg" localSheetId="6" hidden="1">1</definedName>
    <definedName name="solver_neg" localSheetId="2" hidden="1">1</definedName>
    <definedName name="solver_neg" localSheetId="3" hidden="1">1</definedName>
    <definedName name="solver_nod" localSheetId="6" hidden="1">2147483647</definedName>
    <definedName name="solver_nod" localSheetId="2" hidden="1">2147483647</definedName>
    <definedName name="solver_nod" localSheetId="3" hidden="1">2147483647</definedName>
    <definedName name="solver_num" localSheetId="6" hidden="1">0</definedName>
    <definedName name="solver_num" localSheetId="2" hidden="1">0</definedName>
    <definedName name="solver_num" localSheetId="3" hidden="1">0</definedName>
    <definedName name="solver_nwt" localSheetId="6" hidden="1">1</definedName>
    <definedName name="solver_nwt" localSheetId="2" hidden="1">1</definedName>
    <definedName name="solver_nwt" localSheetId="3" hidden="1">1</definedName>
    <definedName name="solver_opt" localSheetId="6" hidden="1">Economics!$E$81</definedName>
    <definedName name="solver_opt" localSheetId="2" hidden="1">Electrolyzer!$M$124</definedName>
    <definedName name="solver_opt" localSheetId="3" hidden="1">'KCl Elec'!$C$22</definedName>
    <definedName name="solver_pre" localSheetId="6" hidden="1">0.000001</definedName>
    <definedName name="solver_pre" localSheetId="2" hidden="1">0.00000001</definedName>
    <definedName name="solver_pre" localSheetId="3" hidden="1">0.00000001</definedName>
    <definedName name="solver_rbv" localSheetId="6" hidden="1">1</definedName>
    <definedName name="solver_rbv" localSheetId="2" hidden="1">1</definedName>
    <definedName name="solver_rbv" localSheetId="3" hidden="1">1</definedName>
    <definedName name="solver_rel1" localSheetId="2" hidden="1">1</definedName>
    <definedName name="solver_rel1" localSheetId="3" hidden="1">3</definedName>
    <definedName name="solver_rhs1" localSheetId="2" hidden="1">0.000001</definedName>
    <definedName name="solver_rhs1" localSheetId="3" hidden="1">0.26</definedName>
    <definedName name="solver_rlx" localSheetId="6" hidden="1">2</definedName>
    <definedName name="solver_rlx" localSheetId="2" hidden="1">2</definedName>
    <definedName name="solver_rlx" localSheetId="3" hidden="1">2</definedName>
    <definedName name="solver_rsd" localSheetId="6" hidden="1">0</definedName>
    <definedName name="solver_rsd" localSheetId="2" hidden="1">0</definedName>
    <definedName name="solver_rsd" localSheetId="3" hidden="1">0</definedName>
    <definedName name="solver_scl" localSheetId="6" hidden="1">1</definedName>
    <definedName name="solver_scl" localSheetId="2" hidden="1">1</definedName>
    <definedName name="solver_scl" localSheetId="3" hidden="1">1</definedName>
    <definedName name="solver_sho" localSheetId="6" hidden="1">2</definedName>
    <definedName name="solver_sho" localSheetId="2" hidden="1">2</definedName>
    <definedName name="solver_sho" localSheetId="3" hidden="1">2</definedName>
    <definedName name="solver_ssz" localSheetId="6" hidden="1">100</definedName>
    <definedName name="solver_ssz" localSheetId="2" hidden="1">100</definedName>
    <definedName name="solver_ssz" localSheetId="3" hidden="1">100</definedName>
    <definedName name="solver_tim" localSheetId="6" hidden="1">2147483647</definedName>
    <definedName name="solver_tim" localSheetId="2" hidden="1">2147483647</definedName>
    <definedName name="solver_tim" localSheetId="3" hidden="1">2147483647</definedName>
    <definedName name="solver_tol" localSheetId="6" hidden="1">0.01</definedName>
    <definedName name="solver_tol" localSheetId="2" hidden="1">0.01</definedName>
    <definedName name="solver_tol" localSheetId="3" hidden="1">0.01</definedName>
    <definedName name="solver_typ" localSheetId="6" hidden="1">3</definedName>
    <definedName name="solver_typ" localSheetId="2" hidden="1">3</definedName>
    <definedName name="solver_typ" localSheetId="3" hidden="1">3</definedName>
    <definedName name="solver_val" localSheetId="6" hidden="1">0</definedName>
    <definedName name="solver_val" localSheetId="2" hidden="1">0</definedName>
    <definedName name="solver_val" localSheetId="3" hidden="1">8258.129</definedName>
    <definedName name="solver_ver" localSheetId="6" hidden="1">3</definedName>
    <definedName name="solver_ver" localSheetId="2" hidden="1">3</definedName>
    <definedName name="solver_ver" localSheetId="3" hidden="1">3</definedName>
    <definedName name="T_lift">#REF!</definedName>
    <definedName name="Txxy">#REF!</definedName>
    <definedName name="V_j_costs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2" i="8" l="1"/>
  <c r="T84" i="8"/>
  <c r="H38" i="10"/>
  <c r="G43" i="10"/>
  <c r="J51" i="8"/>
  <c r="U84" i="8"/>
  <c r="F6" i="8"/>
  <c r="J59" i="8"/>
  <c r="J60" i="8"/>
  <c r="J61" i="8"/>
  <c r="J58" i="8"/>
  <c r="C39" i="4"/>
  <c r="C34" i="4"/>
  <c r="C52" i="4"/>
  <c r="E135" i="3"/>
  <c r="E131" i="3"/>
  <c r="F131" i="3"/>
  <c r="L146" i="3"/>
  <c r="E17" i="3"/>
  <c r="E16" i="3"/>
  <c r="E14" i="3"/>
  <c r="L133" i="3"/>
  <c r="B81" i="8"/>
  <c r="E51" i="8"/>
  <c r="E52" i="8"/>
  <c r="B78" i="8"/>
  <c r="N20" i="18"/>
  <c r="N19" i="18"/>
  <c r="M19" i="18"/>
  <c r="M21" i="18"/>
  <c r="M20" i="18"/>
  <c r="D42" i="8"/>
  <c r="K51" i="8"/>
  <c r="K61" i="8"/>
  <c r="K60" i="8"/>
  <c r="K59" i="8"/>
  <c r="P39" i="7"/>
  <c r="P7" i="7"/>
  <c r="K25" i="7"/>
  <c r="K8" i="7"/>
  <c r="F8" i="7"/>
  <c r="F11" i="7"/>
  <c r="F9" i="7"/>
  <c r="F10" i="7"/>
  <c r="I9" i="7"/>
  <c r="I10" i="7"/>
  <c r="I11" i="7"/>
  <c r="I8" i="7"/>
  <c r="B59" i="8"/>
  <c r="M4" i="8"/>
  <c r="L4" i="8"/>
  <c r="M7" i="10"/>
  <c r="C13" i="5"/>
  <c r="M14" i="2"/>
  <c r="C25" i="1"/>
  <c r="E13" i="3"/>
  <c r="I31" i="7"/>
  <c r="I22" i="7"/>
  <c r="K22" i="7"/>
  <c r="K38" i="7"/>
  <c r="K31" i="7"/>
  <c r="K29" i="7"/>
  <c r="K19" i="7"/>
  <c r="K16" i="7"/>
  <c r="F42" i="10"/>
  <c r="S7" i="7"/>
  <c r="T7" i="7"/>
  <c r="Z7" i="7"/>
  <c r="AA7" i="7"/>
  <c r="K7" i="7"/>
  <c r="M7" i="7"/>
  <c r="N7" i="7"/>
  <c r="O7" i="7"/>
  <c r="H55" i="1"/>
  <c r="M53" i="1"/>
  <c r="E5" i="3"/>
  <c r="H34" i="1"/>
  <c r="H35" i="1"/>
  <c r="H33" i="1"/>
  <c r="G34" i="1"/>
  <c r="G35" i="1"/>
  <c r="G33" i="1"/>
  <c r="M50" i="1"/>
  <c r="M52" i="1"/>
  <c r="D14" i="8"/>
  <c r="F11" i="8"/>
  <c r="D19" i="8"/>
  <c r="D20" i="8"/>
  <c r="E25" i="8"/>
  <c r="M91" i="2"/>
  <c r="M55" i="1"/>
  <c r="H48" i="1"/>
  <c r="U82" i="8" l="1"/>
  <c r="B22" i="18"/>
  <c r="C22" i="18"/>
  <c r="P12" i="7"/>
  <c r="E15" i="3"/>
  <c r="L135" i="3"/>
  <c r="E22" i="18"/>
  <c r="E21" i="18"/>
  <c r="B21" i="18"/>
  <c r="D22" i="18"/>
  <c r="C21" i="18"/>
  <c r="D21" i="18"/>
  <c r="L134" i="3"/>
  <c r="L136" i="3" s="1"/>
  <c r="B61" i="8"/>
  <c r="B62" i="8" s="1"/>
  <c r="AD51" i="8" s="1"/>
  <c r="Y7" i="7"/>
  <c r="F20" i="8"/>
  <c r="M5" i="8"/>
  <c r="L5" i="8"/>
  <c r="AB7" i="7"/>
  <c r="L7" i="7"/>
  <c r="E6" i="3"/>
  <c r="E9" i="3" s="1"/>
  <c r="E22" i="3"/>
  <c r="M101" i="2"/>
  <c r="J47" i="2"/>
  <c r="Q54" i="8"/>
  <c r="C23" i="1"/>
  <c r="S54" i="8"/>
  <c r="Q44" i="8"/>
  <c r="R44" i="8"/>
  <c r="P37" i="8" a="1"/>
  <c r="O38" i="8" a="1"/>
  <c r="AF38" i="8" a="1"/>
  <c r="D15" i="8"/>
  <c r="C15" i="5"/>
  <c r="Q51" i="8"/>
  <c r="S51" i="8"/>
  <c r="S53" i="8"/>
  <c r="Q53" i="8"/>
  <c r="S52" i="8"/>
  <c r="Q52" i="8"/>
  <c r="S50" i="8"/>
  <c r="Q50" i="8"/>
  <c r="B80" i="8"/>
  <c r="B79" i="8"/>
  <c r="E77" i="8" s="1"/>
  <c r="K11" i="7"/>
  <c r="L11" i="7" s="1"/>
  <c r="E34" i="8" a="1"/>
  <c r="F21" i="8"/>
  <c r="A25" i="8" a="1"/>
  <c r="G25" i="8"/>
  <c r="B72" i="8"/>
  <c r="B71" i="8"/>
  <c r="B70" i="8"/>
  <c r="B69" i="8"/>
  <c r="I41" i="7"/>
  <c r="E47" i="10"/>
  <c r="L8" i="7"/>
  <c r="K10" i="7"/>
  <c r="L10" i="7" s="1"/>
  <c r="F49" i="7"/>
  <c r="F46" i="7"/>
  <c r="F40" i="7"/>
  <c r="F36" i="7"/>
  <c r="F28" i="7"/>
  <c r="F25" i="7"/>
  <c r="I49" i="7"/>
  <c r="I46" i="7"/>
  <c r="I44" i="7"/>
  <c r="I28" i="7"/>
  <c r="I25" i="7"/>
  <c r="F17" i="7"/>
  <c r="K9" i="7"/>
  <c r="H20" i="10"/>
  <c r="K17" i="10"/>
  <c r="I18" i="10"/>
  <c r="I19" i="10" s="1"/>
  <c r="K18" i="10"/>
  <c r="J18" i="10"/>
  <c r="S16" i="10"/>
  <c r="J26" i="10" s="1"/>
  <c r="G13" i="10"/>
  <c r="L6" i="10"/>
  <c r="K12" i="10"/>
  <c r="J12" i="10"/>
  <c r="I16" i="10"/>
  <c r="M12" i="10" s="1"/>
  <c r="L11" i="10"/>
  <c r="L8" i="10"/>
  <c r="I6" i="10"/>
  <c r="L5" i="10"/>
  <c r="I5" i="10"/>
  <c r="I4" i="10"/>
  <c r="L4" i="10"/>
  <c r="L3" i="10"/>
  <c r="I3" i="10"/>
  <c r="G10" i="10"/>
  <c r="I20" i="10"/>
  <c r="I22" i="10"/>
  <c r="I23" i="10"/>
  <c r="I24" i="10"/>
  <c r="I26" i="10"/>
  <c r="I27" i="10"/>
  <c r="S27" i="10" s="1"/>
  <c r="O20" i="10"/>
  <c r="O21" i="10" s="1"/>
  <c r="M29" i="10"/>
  <c r="L19" i="7"/>
  <c r="K20" i="7"/>
  <c r="J20" i="7"/>
  <c r="M20" i="7"/>
  <c r="N20" i="7"/>
  <c r="O20" i="7"/>
  <c r="S20" i="7"/>
  <c r="T20" i="7"/>
  <c r="Z20" i="7"/>
  <c r="AA20" i="7"/>
  <c r="J19" i="7"/>
  <c r="L38" i="7"/>
  <c r="L29" i="7"/>
  <c r="L22" i="7"/>
  <c r="L31" i="7"/>
  <c r="J44" i="7"/>
  <c r="M44" i="7"/>
  <c r="N44" i="7"/>
  <c r="O44" i="7"/>
  <c r="S44" i="7"/>
  <c r="T44" i="7"/>
  <c r="Z44" i="7"/>
  <c r="AA44" i="7"/>
  <c r="K24" i="7"/>
  <c r="L24" i="7" s="1"/>
  <c r="K47" i="7"/>
  <c r="L47" i="7" s="1"/>
  <c r="K48" i="7"/>
  <c r="L48" i="7" s="1"/>
  <c r="J27" i="7"/>
  <c r="M27" i="7"/>
  <c r="N27" i="7"/>
  <c r="O27" i="7"/>
  <c r="S27" i="7"/>
  <c r="T27" i="7"/>
  <c r="Z27" i="7"/>
  <c r="AA27" i="7"/>
  <c r="M26" i="10"/>
  <c r="O28" i="10"/>
  <c r="Z14" i="10"/>
  <c r="B44" i="8"/>
  <c r="C44" i="8" s="1"/>
  <c r="M43" i="7"/>
  <c r="N43" i="7"/>
  <c r="O43" i="7"/>
  <c r="J30" i="7"/>
  <c r="M30" i="7"/>
  <c r="N30" i="7"/>
  <c r="O30" i="7"/>
  <c r="T30" i="7"/>
  <c r="Z30" i="7"/>
  <c r="AA30" i="7"/>
  <c r="J31" i="7"/>
  <c r="M31" i="7"/>
  <c r="N31" i="7"/>
  <c r="O31" i="7"/>
  <c r="S31" i="7"/>
  <c r="T31" i="7"/>
  <c r="Z31" i="7"/>
  <c r="AA31" i="7"/>
  <c r="J18" i="7"/>
  <c r="M18" i="7"/>
  <c r="N18" i="7"/>
  <c r="O18" i="7"/>
  <c r="T18" i="7"/>
  <c r="Z18" i="7"/>
  <c r="AA18" i="7"/>
  <c r="M19" i="7"/>
  <c r="N19" i="7"/>
  <c r="O19" i="7"/>
  <c r="S19" i="7"/>
  <c r="T19" i="7"/>
  <c r="Z19" i="7"/>
  <c r="AA19" i="7"/>
  <c r="J33" i="7"/>
  <c r="M33" i="7"/>
  <c r="N33" i="7"/>
  <c r="O33" i="7"/>
  <c r="S33" i="7"/>
  <c r="T33" i="7"/>
  <c r="Z33" i="7"/>
  <c r="AA33" i="7"/>
  <c r="S35" i="7"/>
  <c r="S34" i="7"/>
  <c r="D30" i="7"/>
  <c r="S30" i="7" s="1"/>
  <c r="D18" i="7"/>
  <c r="S18" i="7" s="1"/>
  <c r="O19" i="10"/>
  <c r="L19" i="10" s="1"/>
  <c r="O8" i="10"/>
  <c r="D28" i="7"/>
  <c r="S28" i="7" s="1"/>
  <c r="K15" i="7"/>
  <c r="K14" i="7"/>
  <c r="L14" i="7" s="1"/>
  <c r="B43" i="8"/>
  <c r="C43" i="8" s="1"/>
  <c r="D47" i="10"/>
  <c r="N18" i="10"/>
  <c r="N11" i="10"/>
  <c r="M11" i="10"/>
  <c r="M18" i="10" s="1"/>
  <c r="M24" i="10"/>
  <c r="M15" i="10"/>
  <c r="X9" i="10"/>
  <c r="AA9" i="10" s="1"/>
  <c r="AB9" i="10" s="1"/>
  <c r="AB11" i="10" s="1"/>
  <c r="AA11" i="10" s="1"/>
  <c r="B45" i="8"/>
  <c r="C45" i="8" s="1"/>
  <c r="B46" i="8"/>
  <c r="C46" i="8" s="1"/>
  <c r="O23" i="10"/>
  <c r="M22" i="10"/>
  <c r="H12" i="10"/>
  <c r="H13" i="10" s="1"/>
  <c r="M4" i="10"/>
  <c r="M3" i="10"/>
  <c r="M6" i="10"/>
  <c r="M5" i="10"/>
  <c r="M25" i="10" s="1"/>
  <c r="AA77" i="7"/>
  <c r="Z77" i="7"/>
  <c r="T77" i="7"/>
  <c r="S77" i="7"/>
  <c r="O77" i="7"/>
  <c r="N77" i="7"/>
  <c r="M77" i="7"/>
  <c r="L77" i="7"/>
  <c r="J77" i="7"/>
  <c r="AA76" i="7"/>
  <c r="Z76" i="7"/>
  <c r="T76" i="7"/>
  <c r="S76" i="7"/>
  <c r="O76" i="7"/>
  <c r="N76" i="7"/>
  <c r="M76" i="7"/>
  <c r="L76" i="7"/>
  <c r="J76" i="7"/>
  <c r="AA75" i="7"/>
  <c r="Z75" i="7"/>
  <c r="T75" i="7"/>
  <c r="S75" i="7"/>
  <c r="O75" i="7"/>
  <c r="N75" i="7"/>
  <c r="M75" i="7"/>
  <c r="L75" i="7"/>
  <c r="J75" i="7"/>
  <c r="AA74" i="7"/>
  <c r="Z74" i="7"/>
  <c r="T74" i="7"/>
  <c r="S74" i="7"/>
  <c r="O74" i="7"/>
  <c r="N74" i="7"/>
  <c r="M74" i="7"/>
  <c r="L74" i="7"/>
  <c r="J74" i="7"/>
  <c r="AA73" i="7"/>
  <c r="Z73" i="7"/>
  <c r="T73" i="7"/>
  <c r="S73" i="7"/>
  <c r="O73" i="7"/>
  <c r="N73" i="7"/>
  <c r="M73" i="7"/>
  <c r="L73" i="7"/>
  <c r="J73" i="7"/>
  <c r="AA72" i="7"/>
  <c r="Z72" i="7"/>
  <c r="T72" i="7"/>
  <c r="S72" i="7"/>
  <c r="O72" i="7"/>
  <c r="N72" i="7"/>
  <c r="M72" i="7"/>
  <c r="L72" i="7"/>
  <c r="J72" i="7"/>
  <c r="AA71" i="7"/>
  <c r="Z71" i="7"/>
  <c r="T71" i="7"/>
  <c r="S71" i="7"/>
  <c r="O71" i="7"/>
  <c r="N71" i="7"/>
  <c r="M71" i="7"/>
  <c r="L71" i="7"/>
  <c r="J71" i="7"/>
  <c r="AA70" i="7"/>
  <c r="Z70" i="7"/>
  <c r="T70" i="7"/>
  <c r="S70" i="7"/>
  <c r="O70" i="7"/>
  <c r="N70" i="7"/>
  <c r="M70" i="7"/>
  <c r="L70" i="7"/>
  <c r="J70" i="7"/>
  <c r="AA69" i="7"/>
  <c r="Z69" i="7"/>
  <c r="T69" i="7"/>
  <c r="S69" i="7"/>
  <c r="O69" i="7"/>
  <c r="N69" i="7"/>
  <c r="M69" i="7"/>
  <c r="L69" i="7"/>
  <c r="J69" i="7"/>
  <c r="AA68" i="7"/>
  <c r="Z68" i="7"/>
  <c r="T68" i="7"/>
  <c r="S68" i="7"/>
  <c r="O68" i="7"/>
  <c r="N68" i="7"/>
  <c r="M68" i="7"/>
  <c r="L68" i="7"/>
  <c r="J68" i="7"/>
  <c r="AA67" i="7"/>
  <c r="Z67" i="7"/>
  <c r="T67" i="7"/>
  <c r="S67" i="7"/>
  <c r="O67" i="7"/>
  <c r="N67" i="7"/>
  <c r="M67" i="7"/>
  <c r="L67" i="7"/>
  <c r="J67" i="7"/>
  <c r="AA66" i="7"/>
  <c r="Z66" i="7"/>
  <c r="T66" i="7"/>
  <c r="S66" i="7"/>
  <c r="O66" i="7"/>
  <c r="N66" i="7"/>
  <c r="M66" i="7"/>
  <c r="L66" i="7"/>
  <c r="J66" i="7"/>
  <c r="AA65" i="7"/>
  <c r="Z65" i="7"/>
  <c r="T65" i="7"/>
  <c r="S65" i="7"/>
  <c r="O65" i="7"/>
  <c r="N65" i="7"/>
  <c r="M65" i="7"/>
  <c r="L65" i="7"/>
  <c r="J65" i="7"/>
  <c r="AA64" i="7"/>
  <c r="Z64" i="7"/>
  <c r="T64" i="7"/>
  <c r="S64" i="7"/>
  <c r="O64" i="7"/>
  <c r="N64" i="7"/>
  <c r="M64" i="7"/>
  <c r="L64" i="7"/>
  <c r="J64" i="7"/>
  <c r="AA63" i="7"/>
  <c r="Z63" i="7"/>
  <c r="T63" i="7"/>
  <c r="S63" i="7"/>
  <c r="O63" i="7"/>
  <c r="N63" i="7"/>
  <c r="M63" i="7"/>
  <c r="L63" i="7"/>
  <c r="J63" i="7"/>
  <c r="AA62" i="7"/>
  <c r="Z62" i="7"/>
  <c r="T62" i="7"/>
  <c r="S62" i="7"/>
  <c r="O62" i="7"/>
  <c r="N62" i="7"/>
  <c r="M62" i="7"/>
  <c r="L62" i="7"/>
  <c r="J62" i="7"/>
  <c r="AA61" i="7"/>
  <c r="Z61" i="7"/>
  <c r="T61" i="7"/>
  <c r="S61" i="7"/>
  <c r="O61" i="7"/>
  <c r="N61" i="7"/>
  <c r="M61" i="7"/>
  <c r="L61" i="7"/>
  <c r="J61" i="7"/>
  <c r="AA60" i="7"/>
  <c r="Z60" i="7"/>
  <c r="T60" i="7"/>
  <c r="S60" i="7"/>
  <c r="O60" i="7"/>
  <c r="N60" i="7"/>
  <c r="M60" i="7"/>
  <c r="L60" i="7"/>
  <c r="J60" i="7"/>
  <c r="AA59" i="7"/>
  <c r="Z59" i="7"/>
  <c r="T59" i="7"/>
  <c r="S59" i="7"/>
  <c r="O59" i="7"/>
  <c r="N59" i="7"/>
  <c r="M59" i="7"/>
  <c r="L59" i="7"/>
  <c r="J59" i="7"/>
  <c r="AA58" i="7"/>
  <c r="Z58" i="7"/>
  <c r="T58" i="7"/>
  <c r="S58" i="7"/>
  <c r="O58" i="7"/>
  <c r="N58" i="7"/>
  <c r="M58" i="7"/>
  <c r="L58" i="7"/>
  <c r="J58" i="7"/>
  <c r="AA57" i="7"/>
  <c r="Z57" i="7"/>
  <c r="T57" i="7"/>
  <c r="S57" i="7"/>
  <c r="O57" i="7"/>
  <c r="N57" i="7"/>
  <c r="M57" i="7"/>
  <c r="L57" i="7"/>
  <c r="J57" i="7"/>
  <c r="AA56" i="7"/>
  <c r="Z56" i="7"/>
  <c r="T56" i="7"/>
  <c r="S56" i="7"/>
  <c r="O56" i="7"/>
  <c r="N56" i="7"/>
  <c r="M56" i="7"/>
  <c r="L56" i="7"/>
  <c r="J56" i="7"/>
  <c r="AA55" i="7"/>
  <c r="Z55" i="7"/>
  <c r="T55" i="7"/>
  <c r="S55" i="7"/>
  <c r="O55" i="7"/>
  <c r="N55" i="7"/>
  <c r="M55" i="7"/>
  <c r="L55" i="7"/>
  <c r="J55" i="7"/>
  <c r="AA54" i="7"/>
  <c r="Z54" i="7"/>
  <c r="T54" i="7"/>
  <c r="S54" i="7"/>
  <c r="O54" i="7"/>
  <c r="N54" i="7"/>
  <c r="M54" i="7"/>
  <c r="L54" i="7"/>
  <c r="J54" i="7"/>
  <c r="AA53" i="7"/>
  <c r="Z53" i="7"/>
  <c r="T53" i="7"/>
  <c r="S53" i="7"/>
  <c r="O53" i="7"/>
  <c r="N53" i="7"/>
  <c r="M53" i="7"/>
  <c r="L53" i="7"/>
  <c r="J53" i="7"/>
  <c r="AA52" i="7"/>
  <c r="Z52" i="7"/>
  <c r="T52" i="7"/>
  <c r="S52" i="7"/>
  <c r="O52" i="7"/>
  <c r="N52" i="7"/>
  <c r="M52" i="7"/>
  <c r="L52" i="7"/>
  <c r="J52" i="7"/>
  <c r="Z51" i="7"/>
  <c r="T51" i="7"/>
  <c r="S51" i="7"/>
  <c r="O51" i="7"/>
  <c r="N51" i="7"/>
  <c r="M51" i="7"/>
  <c r="L51" i="7"/>
  <c r="J51" i="7"/>
  <c r="Z50" i="7"/>
  <c r="T50" i="7"/>
  <c r="S50" i="7"/>
  <c r="O50" i="7"/>
  <c r="N50" i="7"/>
  <c r="M50" i="7"/>
  <c r="L50" i="7"/>
  <c r="J50" i="7"/>
  <c r="AA49" i="7"/>
  <c r="Z49" i="7"/>
  <c r="T49" i="7"/>
  <c r="S49" i="7"/>
  <c r="O49" i="7"/>
  <c r="N49" i="7"/>
  <c r="M49" i="7"/>
  <c r="J49" i="7"/>
  <c r="AA48" i="7"/>
  <c r="Z48" i="7"/>
  <c r="T48" i="7"/>
  <c r="S48" i="7"/>
  <c r="O48" i="7"/>
  <c r="N48" i="7"/>
  <c r="M48" i="7"/>
  <c r="J48" i="7"/>
  <c r="AA47" i="7"/>
  <c r="Z47" i="7"/>
  <c r="T47" i="7"/>
  <c r="S47" i="7"/>
  <c r="O47" i="7"/>
  <c r="N47" i="7"/>
  <c r="M47" i="7"/>
  <c r="J47" i="7"/>
  <c r="AA46" i="7"/>
  <c r="Z46" i="7"/>
  <c r="T46" i="7"/>
  <c r="S46" i="7"/>
  <c r="O46" i="7"/>
  <c r="N46" i="7"/>
  <c r="M46" i="7"/>
  <c r="J46" i="7"/>
  <c r="AA45" i="7"/>
  <c r="Z45" i="7"/>
  <c r="T45" i="7"/>
  <c r="S45" i="7"/>
  <c r="O45" i="7"/>
  <c r="N45" i="7"/>
  <c r="M45" i="7"/>
  <c r="J45" i="7"/>
  <c r="AA43" i="7"/>
  <c r="Z43" i="7"/>
  <c r="T43" i="7"/>
  <c r="S43" i="7"/>
  <c r="B42" i="7"/>
  <c r="AA42" i="7"/>
  <c r="Z42" i="7"/>
  <c r="T42" i="7"/>
  <c r="S42" i="7"/>
  <c r="O42" i="7"/>
  <c r="N42" i="7"/>
  <c r="M42" i="7"/>
  <c r="J42" i="7"/>
  <c r="B41" i="7"/>
  <c r="AA41" i="7"/>
  <c r="Z41" i="7"/>
  <c r="T41" i="7"/>
  <c r="S41" i="7"/>
  <c r="O41" i="7"/>
  <c r="N41" i="7"/>
  <c r="M41" i="7"/>
  <c r="J41" i="7"/>
  <c r="B40" i="7"/>
  <c r="AA40" i="7"/>
  <c r="Z40" i="7"/>
  <c r="T40" i="7"/>
  <c r="S40" i="7"/>
  <c r="O40" i="7"/>
  <c r="N40" i="7"/>
  <c r="M40" i="7"/>
  <c r="J40" i="7"/>
  <c r="B39" i="7"/>
  <c r="AA39" i="7"/>
  <c r="Z39" i="7"/>
  <c r="T39" i="7"/>
  <c r="S39" i="7"/>
  <c r="O39" i="7"/>
  <c r="N39" i="7"/>
  <c r="M39" i="7"/>
  <c r="L39" i="7"/>
  <c r="B38" i="7"/>
  <c r="AA38" i="7"/>
  <c r="Z38" i="7"/>
  <c r="T38" i="7"/>
  <c r="S38" i="7"/>
  <c r="O38" i="7"/>
  <c r="N38" i="7"/>
  <c r="M38" i="7"/>
  <c r="J38" i="7"/>
  <c r="AA37" i="7"/>
  <c r="Z37" i="7"/>
  <c r="T37" i="7"/>
  <c r="S37" i="7"/>
  <c r="O37" i="7"/>
  <c r="N37" i="7"/>
  <c r="M37" i="7"/>
  <c r="J37" i="7"/>
  <c r="AA36" i="7"/>
  <c r="Z36" i="7"/>
  <c r="T36" i="7"/>
  <c r="S36" i="7"/>
  <c r="O36" i="7"/>
  <c r="N36" i="7"/>
  <c r="M36" i="7"/>
  <c r="J36" i="7"/>
  <c r="AA35" i="7"/>
  <c r="Z35" i="7"/>
  <c r="T35" i="7"/>
  <c r="O35" i="7"/>
  <c r="N35" i="7"/>
  <c r="M35" i="7"/>
  <c r="J35" i="7"/>
  <c r="AA34" i="7"/>
  <c r="Z34" i="7"/>
  <c r="T34" i="7"/>
  <c r="O34" i="7"/>
  <c r="N34" i="7"/>
  <c r="M34" i="7"/>
  <c r="J34" i="7"/>
  <c r="AA32" i="7"/>
  <c r="Z32" i="7"/>
  <c r="T32" i="7"/>
  <c r="S32" i="7"/>
  <c r="O32" i="7"/>
  <c r="N32" i="7"/>
  <c r="M32" i="7"/>
  <c r="L32" i="7"/>
  <c r="J32" i="7"/>
  <c r="AA29" i="7"/>
  <c r="Z29" i="7"/>
  <c r="T29" i="7"/>
  <c r="S29" i="7"/>
  <c r="O29" i="7"/>
  <c r="N29" i="7"/>
  <c r="M29" i="7"/>
  <c r="J29" i="7"/>
  <c r="AA28" i="7"/>
  <c r="Z28" i="7"/>
  <c r="T28" i="7"/>
  <c r="O28" i="7"/>
  <c r="N28" i="7"/>
  <c r="M28" i="7"/>
  <c r="J28" i="7"/>
  <c r="AA26" i="7"/>
  <c r="Z26" i="7"/>
  <c r="T26" i="7"/>
  <c r="S26" i="7"/>
  <c r="O26" i="7"/>
  <c r="N26" i="7"/>
  <c r="M26" i="7"/>
  <c r="J26" i="7"/>
  <c r="AA25" i="7"/>
  <c r="Z25" i="7"/>
  <c r="T25" i="7"/>
  <c r="S25" i="7"/>
  <c r="O25" i="7"/>
  <c r="N25" i="7"/>
  <c r="M25" i="7"/>
  <c r="J25" i="7"/>
  <c r="AA24" i="7"/>
  <c r="Z24" i="7"/>
  <c r="T24" i="7"/>
  <c r="S24" i="7"/>
  <c r="O24" i="7"/>
  <c r="N24" i="7"/>
  <c r="M24" i="7"/>
  <c r="J24" i="7"/>
  <c r="AA23" i="7"/>
  <c r="Z23" i="7"/>
  <c r="T23" i="7"/>
  <c r="S23" i="7"/>
  <c r="O23" i="7"/>
  <c r="N23" i="7"/>
  <c r="M23" i="7"/>
  <c r="L23" i="7"/>
  <c r="J23" i="7"/>
  <c r="AA22" i="7"/>
  <c r="Z22" i="7"/>
  <c r="T22" i="7"/>
  <c r="S22" i="7"/>
  <c r="O22" i="7"/>
  <c r="N22" i="7"/>
  <c r="M22" i="7"/>
  <c r="J22" i="7"/>
  <c r="AA21" i="7"/>
  <c r="Z21" i="7"/>
  <c r="T21" i="7"/>
  <c r="S21" i="7"/>
  <c r="O21" i="7"/>
  <c r="N21" i="7"/>
  <c r="M21" i="7"/>
  <c r="J21" i="7"/>
  <c r="AA17" i="7"/>
  <c r="Z17" i="7"/>
  <c r="T17" i="7"/>
  <c r="S17" i="7"/>
  <c r="O17" i="7"/>
  <c r="N17" i="7"/>
  <c r="M17" i="7"/>
  <c r="J17" i="7"/>
  <c r="AA16" i="7"/>
  <c r="Z16" i="7"/>
  <c r="T16" i="7"/>
  <c r="S16" i="7"/>
  <c r="O16" i="7"/>
  <c r="N16" i="7"/>
  <c r="M16" i="7"/>
  <c r="J16" i="7"/>
  <c r="AA15" i="7"/>
  <c r="Z15" i="7"/>
  <c r="T15" i="7"/>
  <c r="S15" i="7"/>
  <c r="O15" i="7"/>
  <c r="N15" i="7"/>
  <c r="M15" i="7"/>
  <c r="J15" i="7"/>
  <c r="AA14" i="7"/>
  <c r="Z14" i="7"/>
  <c r="T14" i="7"/>
  <c r="S14" i="7"/>
  <c r="O14" i="7"/>
  <c r="N14" i="7"/>
  <c r="M14" i="7"/>
  <c r="J14" i="7"/>
  <c r="AA13" i="7"/>
  <c r="Z13" i="7"/>
  <c r="T13" i="7"/>
  <c r="S13" i="7"/>
  <c r="O13" i="7"/>
  <c r="N13" i="7"/>
  <c r="M13" i="7"/>
  <c r="AA12" i="7"/>
  <c r="Z12" i="7"/>
  <c r="T12" i="7"/>
  <c r="S12" i="7"/>
  <c r="O12" i="7"/>
  <c r="N12" i="7"/>
  <c r="M12" i="7"/>
  <c r="AA11" i="7"/>
  <c r="Z11" i="7"/>
  <c r="T11" i="7"/>
  <c r="S11" i="7"/>
  <c r="O11" i="7"/>
  <c r="N11" i="7"/>
  <c r="M11" i="7"/>
  <c r="J11" i="7"/>
  <c r="AA10" i="7"/>
  <c r="Z10" i="7"/>
  <c r="T10" i="7"/>
  <c r="S10" i="7"/>
  <c r="O10" i="7"/>
  <c r="N10" i="7"/>
  <c r="M10" i="7"/>
  <c r="J10" i="7"/>
  <c r="AA9" i="7"/>
  <c r="Z9" i="7"/>
  <c r="T9" i="7"/>
  <c r="S9" i="7"/>
  <c r="O9" i="7"/>
  <c r="N9" i="7"/>
  <c r="M9" i="7"/>
  <c r="J9" i="7"/>
  <c r="AA8" i="7"/>
  <c r="Z8" i="7"/>
  <c r="T8" i="7"/>
  <c r="S8" i="7"/>
  <c r="O8" i="7"/>
  <c r="N8" i="7"/>
  <c r="M8" i="7"/>
  <c r="J8" i="7"/>
  <c r="I116" i="3"/>
  <c r="F130" i="3"/>
  <c r="M49" i="1"/>
  <c r="M54" i="1"/>
  <c r="M51" i="1"/>
  <c r="M56" i="1"/>
  <c r="M57" i="1"/>
  <c r="M58" i="1"/>
  <c r="M59" i="1"/>
  <c r="M48" i="1"/>
  <c r="D53" i="1"/>
  <c r="D49" i="1"/>
  <c r="C16" i="5"/>
  <c r="D27" i="5"/>
  <c r="C30" i="5"/>
  <c r="C27" i="5"/>
  <c r="G23" i="5"/>
  <c r="N3" i="5"/>
  <c r="N2" i="5"/>
  <c r="N9" i="5"/>
  <c r="N8" i="5"/>
  <c r="N6" i="5"/>
  <c r="N5" i="5"/>
  <c r="C19" i="5"/>
  <c r="C18" i="5"/>
  <c r="M86" i="2"/>
  <c r="C26" i="4"/>
  <c r="A4" i="4" a="1"/>
  <c r="A9" i="4" s="1" a="1"/>
  <c r="M47" i="2"/>
  <c r="C27" i="1"/>
  <c r="F24" i="3"/>
  <c r="E118" i="3"/>
  <c r="E52" i="3"/>
  <c r="E53" i="3"/>
  <c r="E54" i="3"/>
  <c r="E57" i="3"/>
  <c r="E58" i="3"/>
  <c r="E59" i="3"/>
  <c r="E63" i="3"/>
  <c r="E64" i="3"/>
  <c r="E51" i="3"/>
  <c r="C97" i="2"/>
  <c r="E11" i="3"/>
  <c r="C11" i="3"/>
  <c r="C22" i="3"/>
  <c r="C23" i="3" s="1"/>
  <c r="C5" i="3" s="1"/>
  <c r="C44" i="3" s="1"/>
  <c r="D44" i="3" s="1"/>
  <c r="E4" i="3"/>
  <c r="M64" i="2"/>
  <c r="M100" i="2"/>
  <c r="M95" i="2"/>
  <c r="M96" i="2"/>
  <c r="M97" i="2"/>
  <c r="M98" i="2"/>
  <c r="M99" i="2"/>
  <c r="M94" i="2"/>
  <c r="M87" i="2"/>
  <c r="L47" i="2"/>
  <c r="M30" i="2"/>
  <c r="L101" i="2"/>
  <c r="L86" i="2"/>
  <c r="C71" i="2"/>
  <c r="C87" i="2"/>
  <c r="C43" i="2"/>
  <c r="C38" i="2"/>
  <c r="C33" i="2"/>
  <c r="C98" i="2"/>
  <c r="C81" i="2"/>
  <c r="C64" i="2"/>
  <c r="C65" i="2" s="1"/>
  <c r="L64" i="2"/>
  <c r="L87" i="2"/>
  <c r="L91" i="2"/>
  <c r="L92" i="2"/>
  <c r="L88" i="2"/>
  <c r="K86" i="2"/>
  <c r="C47" i="2"/>
  <c r="L30" i="2"/>
  <c r="J88" i="2"/>
  <c r="K92" i="2"/>
  <c r="K87" i="2"/>
  <c r="K88" i="2"/>
  <c r="K91" i="2"/>
  <c r="J101" i="2"/>
  <c r="K101" i="2"/>
  <c r="J92" i="2"/>
  <c r="J87" i="2"/>
  <c r="J91" i="2"/>
  <c r="J86" i="2"/>
  <c r="K64" i="2"/>
  <c r="J64" i="2"/>
  <c r="K47" i="2"/>
  <c r="K30" i="2"/>
  <c r="J30" i="2"/>
  <c r="L59" i="1"/>
  <c r="I30" i="2"/>
  <c r="H24" i="2"/>
  <c r="H30" i="2" s="1"/>
  <c r="D30" i="2"/>
  <c r="E30" i="2"/>
  <c r="F30" i="2"/>
  <c r="G30" i="2"/>
  <c r="O50" i="1"/>
  <c r="C3" i="1"/>
  <c r="C89" i="2"/>
  <c r="C88" i="2"/>
  <c r="C30" i="2"/>
  <c r="O55" i="1"/>
  <c r="P47" i="1"/>
  <c r="H56" i="1"/>
  <c r="H51" i="1"/>
  <c r="L144" i="3" l="1"/>
  <c r="P13" i="7" s="1"/>
  <c r="C42" i="8"/>
  <c r="C69" i="8"/>
  <c r="C24" i="8"/>
  <c r="B24" i="8"/>
  <c r="P132" i="2"/>
  <c r="S55" i="8"/>
  <c r="Q55" i="8"/>
  <c r="L9" i="7"/>
  <c r="L16" i="7"/>
  <c r="L15" i="7"/>
  <c r="L20" i="7"/>
  <c r="I34" i="7"/>
  <c r="I33" i="7"/>
  <c r="I26" i="7"/>
  <c r="I21" i="7"/>
  <c r="F18" i="7"/>
  <c r="G21" i="10"/>
  <c r="F35" i="7" s="1"/>
  <c r="F27" i="7"/>
  <c r="F21" i="7"/>
  <c r="I45" i="7"/>
  <c r="I42" i="7"/>
  <c r="I36" i="7"/>
  <c r="K36" i="7" s="1"/>
  <c r="K41" i="7"/>
  <c r="L41" i="7" s="1"/>
  <c r="F26" i="7"/>
  <c r="I40" i="7"/>
  <c r="K40" i="7" s="1"/>
  <c r="L40" i="7" s="1"/>
  <c r="I35" i="7"/>
  <c r="K49" i="7"/>
  <c r="L49" i="7" s="1"/>
  <c r="K46" i="7"/>
  <c r="L46" i="7" s="1"/>
  <c r="K28" i="7"/>
  <c r="L28" i="7" s="1"/>
  <c r="L25" i="7"/>
  <c r="F34" i="7"/>
  <c r="I37" i="7"/>
  <c r="K37" i="7" s="1"/>
  <c r="L37" i="7" s="1"/>
  <c r="C28" i="1"/>
  <c r="C12" i="3"/>
  <c r="E12" i="3"/>
  <c r="F22" i="3"/>
  <c r="F19" i="8" s="1"/>
  <c r="K14" i="2"/>
  <c r="L14" i="2"/>
  <c r="D15" i="5"/>
  <c r="E23" i="3"/>
  <c r="C61" i="2"/>
  <c r="C71" i="8"/>
  <c r="C70" i="8"/>
  <c r="C72" i="8"/>
  <c r="P20" i="7"/>
  <c r="L12" i="10"/>
  <c r="M16" i="10"/>
  <c r="G28" i="10"/>
  <c r="F45" i="7" s="1"/>
  <c r="H27" i="10"/>
  <c r="F44" i="7" s="1"/>
  <c r="K44" i="7" s="1"/>
  <c r="L44" i="7" s="1"/>
  <c r="H18" i="10"/>
  <c r="G19" i="10" s="1"/>
  <c r="F33" i="7" s="1"/>
  <c r="L18" i="10"/>
  <c r="Y20" i="7" a="1"/>
  <c r="P19" i="7"/>
  <c r="P76" i="7"/>
  <c r="AB76" i="7" s="1"/>
  <c r="P73" i="7"/>
  <c r="AB73" i="7" s="1"/>
  <c r="P60" i="7"/>
  <c r="AB60" i="7" s="1"/>
  <c r="P58" i="7"/>
  <c r="AB58" i="7" s="1"/>
  <c r="P68" i="7"/>
  <c r="AB68" i="7" s="1"/>
  <c r="P51" i="7"/>
  <c r="P15" i="7"/>
  <c r="P22" i="7"/>
  <c r="P10" i="7"/>
  <c r="P31" i="7"/>
  <c r="Y19" i="7" a="1"/>
  <c r="P38" i="7"/>
  <c r="AB38" i="7" s="1"/>
  <c r="P50" i="7"/>
  <c r="P9" i="7"/>
  <c r="P47" i="7"/>
  <c r="AB47" i="7" s="1"/>
  <c r="P70" i="7"/>
  <c r="AB70" i="7" s="1"/>
  <c r="P56" i="7"/>
  <c r="AB56" i="7" s="1"/>
  <c r="P65" i="7"/>
  <c r="AB65" i="7" s="1"/>
  <c r="P24" i="7"/>
  <c r="P75" i="7"/>
  <c r="AB75" i="7" s="1"/>
  <c r="P54" i="7"/>
  <c r="AB54" i="7" s="1"/>
  <c r="P67" i="7"/>
  <c r="AB67" i="7" s="1"/>
  <c r="P61" i="7"/>
  <c r="AB61" i="7" s="1"/>
  <c r="P29" i="7"/>
  <c r="P71" i="7"/>
  <c r="AB71" i="7" s="1"/>
  <c r="P66" i="7"/>
  <c r="AB66" i="7" s="1"/>
  <c r="P64" i="7"/>
  <c r="AB64" i="7" s="1"/>
  <c r="P63" i="7"/>
  <c r="AB63" i="7" s="1"/>
  <c r="P59" i="7"/>
  <c r="AB59" i="7" s="1"/>
  <c r="P57" i="7"/>
  <c r="AB57" i="7" s="1"/>
  <c r="P55" i="7"/>
  <c r="AB55" i="7" s="1"/>
  <c r="P23" i="7"/>
  <c r="P14" i="7"/>
  <c r="P16" i="7"/>
  <c r="P11" i="7"/>
  <c r="P52" i="7"/>
  <c r="AB52" i="7" s="1"/>
  <c r="P48" i="7"/>
  <c r="AB48" i="7" s="1"/>
  <c r="P62" i="7"/>
  <c r="AB62" i="7" s="1"/>
  <c r="P53" i="7"/>
  <c r="AB53" i="7" s="1"/>
  <c r="P69" i="7"/>
  <c r="AB69" i="7" s="1"/>
  <c r="P41" i="7"/>
  <c r="P8" i="7"/>
  <c r="AB39" i="7"/>
  <c r="P32" i="7"/>
  <c r="P77" i="7"/>
  <c r="AB77" i="7" s="1"/>
  <c r="P74" i="7"/>
  <c r="AB74" i="7" s="1"/>
  <c r="P72" i="7"/>
  <c r="AB72" i="7" s="1"/>
  <c r="C33" i="5"/>
  <c r="I36" i="5"/>
  <c r="C93" i="2"/>
  <c r="C94" i="2" s="1"/>
  <c r="Q10" i="5"/>
  <c r="Q7" i="5"/>
  <c r="C62" i="2"/>
  <c r="M48" i="2"/>
  <c r="M65" i="2" s="1"/>
  <c r="M54" i="2" s="1"/>
  <c r="D22" i="3"/>
  <c r="D23" i="3"/>
  <c r="K48" i="2"/>
  <c r="K38" i="2" s="1"/>
  <c r="J48" i="2"/>
  <c r="J65" i="2" s="1"/>
  <c r="J59" i="2" s="1"/>
  <c r="L48" i="2"/>
  <c r="L65" i="2" s="1"/>
  <c r="L61" i="2" s="1"/>
  <c r="C40" i="3"/>
  <c r="D40" i="3" s="1"/>
  <c r="C39" i="3"/>
  <c r="C7" i="3"/>
  <c r="D13" i="8" l="1"/>
  <c r="Z40" i="8" s="1"/>
  <c r="AD56" i="8"/>
  <c r="C47" i="8"/>
  <c r="AD47" i="8" s="1"/>
  <c r="C25" i="8"/>
  <c r="C29" i="8"/>
  <c r="B25" i="8"/>
  <c r="B29" i="8"/>
  <c r="AG38" i="8" a="1"/>
  <c r="AG42" i="8" s="1"/>
  <c r="Y41" i="7" a="1"/>
  <c r="AB19" i="7"/>
  <c r="K35" i="7"/>
  <c r="L35" i="7" s="1"/>
  <c r="P40" i="7"/>
  <c r="AB40" i="7" s="1"/>
  <c r="AB20" i="7"/>
  <c r="L36" i="7"/>
  <c r="K33" i="7"/>
  <c r="L33" i="7" s="1"/>
  <c r="K45" i="7"/>
  <c r="P35" i="7"/>
  <c r="P49" i="7"/>
  <c r="AB49" i="7" s="1"/>
  <c r="P36" i="7"/>
  <c r="P44" i="7"/>
  <c r="P25" i="7"/>
  <c r="P37" i="7"/>
  <c r="P28" i="7"/>
  <c r="P46" i="7"/>
  <c r="AB46" i="7" s="1"/>
  <c r="K34" i="7"/>
  <c r="K26" i="7"/>
  <c r="K21" i="7"/>
  <c r="C14" i="3"/>
  <c r="F36" i="10"/>
  <c r="F15" i="5"/>
  <c r="F23" i="3"/>
  <c r="M61" i="2"/>
  <c r="M59" i="2"/>
  <c r="C73" i="8"/>
  <c r="AB8" i="7"/>
  <c r="Y8" i="7" a="1"/>
  <c r="O17" i="10"/>
  <c r="I30" i="7" s="1"/>
  <c r="T16" i="10"/>
  <c r="O13" i="10"/>
  <c r="Y44" i="7" a="1"/>
  <c r="C46" i="10"/>
  <c r="C47" i="10" s="1"/>
  <c r="AB15" i="7"/>
  <c r="Y15" i="7" a="1"/>
  <c r="AB22" i="7"/>
  <c r="Y22" i="7" a="1"/>
  <c r="AB10" i="7"/>
  <c r="Y10" i="7" a="1"/>
  <c r="AB36" i="7"/>
  <c r="Y36" i="7" a="1"/>
  <c r="AB31" i="7"/>
  <c r="Y31" i="7" a="1"/>
  <c r="Y9" i="7" a="1"/>
  <c r="AB9" i="7"/>
  <c r="AB25" i="7"/>
  <c r="Y25" i="7" a="1"/>
  <c r="AB37" i="7"/>
  <c r="Y74" i="7" a="1"/>
  <c r="Y65" i="7" a="1"/>
  <c r="Y39" i="7" a="1"/>
  <c r="Y60" i="7" a="1"/>
  <c r="Y63" i="7" a="1"/>
  <c r="Y47" i="7" a="1"/>
  <c r="Y52" i="7" a="1"/>
  <c r="Y72" i="7" a="1"/>
  <c r="Y38" i="7" a="1"/>
  <c r="Y70" i="7" a="1"/>
  <c r="Y49" i="7" a="1"/>
  <c r="Y53" i="7" a="1"/>
  <c r="Y67" i="7" a="1"/>
  <c r="Y59" i="7" a="1"/>
  <c r="Y62" i="7" a="1"/>
  <c r="Y73" i="7" a="1"/>
  <c r="Y40" i="7" a="1"/>
  <c r="Y37" i="7" a="1"/>
  <c r="AB35" i="7"/>
  <c r="Y35" i="7" a="1"/>
  <c r="Y24" i="7" a="1"/>
  <c r="AB24" i="7"/>
  <c r="AB29" i="7"/>
  <c r="Y29" i="7" a="1"/>
  <c r="AB23" i="7"/>
  <c r="Y23" i="7" a="1"/>
  <c r="AB14" i="7"/>
  <c r="Y14" i="7" a="1"/>
  <c r="AB28" i="7"/>
  <c r="Y28" i="7" a="1"/>
  <c r="AB11" i="7"/>
  <c r="Y11" i="7" a="1"/>
  <c r="AB32" i="7"/>
  <c r="Y32" i="7" a="1"/>
  <c r="AB16" i="7"/>
  <c r="Y16" i="7" a="1"/>
  <c r="AB41" i="7"/>
  <c r="Y69" i="7" a="1"/>
  <c r="Y61" i="7" a="1"/>
  <c r="Y56" i="7" a="1"/>
  <c r="Y46" i="7" a="1"/>
  <c r="Y68" i="7" a="1"/>
  <c r="Y64" i="7" a="1"/>
  <c r="Y48" i="7" a="1"/>
  <c r="Y71" i="7" a="1"/>
  <c r="Y66" i="7" a="1"/>
  <c r="Y77" i="7" a="1"/>
  <c r="Y75" i="7" a="1"/>
  <c r="Y76" i="7" a="1"/>
  <c r="C32" i="5"/>
  <c r="C37" i="5"/>
  <c r="C36" i="5" s="1"/>
  <c r="C23" i="5" s="1"/>
  <c r="M38" i="2"/>
  <c r="M43" i="2"/>
  <c r="M33" i="2"/>
  <c r="C18" i="3"/>
  <c r="C19" i="3" s="1"/>
  <c r="K43" i="2"/>
  <c r="K33" i="2" s="1"/>
  <c r="C16" i="3"/>
  <c r="J61" i="2"/>
  <c r="J38" i="2"/>
  <c r="L39" i="2"/>
  <c r="L42" i="2"/>
  <c r="L45" i="2"/>
  <c r="J56" i="2"/>
  <c r="J43" i="2"/>
  <c r="L38" i="2"/>
  <c r="K65" i="2"/>
  <c r="K54" i="2" s="1"/>
  <c r="L43" i="2"/>
  <c r="L59" i="2"/>
  <c r="C32" i="3"/>
  <c r="D32" i="3" s="1"/>
  <c r="D39" i="3"/>
  <c r="L56" i="2"/>
  <c r="L54" i="2"/>
  <c r="J54" i="2"/>
  <c r="C6" i="3"/>
  <c r="C9" i="3" s="1"/>
  <c r="C45" i="3"/>
  <c r="C41" i="3"/>
  <c r="D41" i="3" s="1"/>
  <c r="B39" i="8" l="1"/>
  <c r="C39" i="8"/>
  <c r="C38" i="8"/>
  <c r="C37" i="8"/>
  <c r="B37" i="8"/>
  <c r="D29" i="18"/>
  <c r="E30" i="18"/>
  <c r="C29" i="18"/>
  <c r="B29" i="18"/>
  <c r="B30" i="18"/>
  <c r="E29" i="18"/>
  <c r="D30" i="18"/>
  <c r="C30" i="18"/>
  <c r="AB44" i="7"/>
  <c r="P33" i="7"/>
  <c r="L45" i="7"/>
  <c r="P45" i="7"/>
  <c r="Z43" i="8"/>
  <c r="P34" i="7"/>
  <c r="L34" i="7"/>
  <c r="P26" i="7"/>
  <c r="L26" i="7"/>
  <c r="P21" i="7"/>
  <c r="L21" i="7"/>
  <c r="L13" i="10"/>
  <c r="I27" i="7"/>
  <c r="K27" i="7" s="1"/>
  <c r="E18" i="3"/>
  <c r="E19" i="3" s="1"/>
  <c r="H29" i="1"/>
  <c r="H30" i="1" s="1"/>
  <c r="E27" i="3"/>
  <c r="F27" i="3" s="1"/>
  <c r="F123" i="3" s="1"/>
  <c r="E123" i="3" s="1"/>
  <c r="E125" i="3" s="1"/>
  <c r="E28" i="3"/>
  <c r="E7" i="3"/>
  <c r="E23" i="5"/>
  <c r="C24" i="5" s="1"/>
  <c r="E24" i="5" s="1"/>
  <c r="C41" i="5"/>
  <c r="B38" i="8"/>
  <c r="AH38" i="8" s="1"/>
  <c r="J33" i="2"/>
  <c r="K26" i="10"/>
  <c r="F42" i="7" s="1"/>
  <c r="K42" i="7" s="1"/>
  <c r="J17" i="10"/>
  <c r="F30" i="7" s="1"/>
  <c r="K30" i="7" s="1"/>
  <c r="C22" i="5"/>
  <c r="E33" i="5"/>
  <c r="C38" i="5"/>
  <c r="C34" i="5"/>
  <c r="N43" i="5" s="1"/>
  <c r="L33" i="2"/>
  <c r="K61" i="2"/>
  <c r="K56" i="2"/>
  <c r="K59" i="2"/>
  <c r="C30" i="3"/>
  <c r="D30" i="3" s="1"/>
  <c r="D45" i="3"/>
  <c r="E30" i="3"/>
  <c r="E31" i="3"/>
  <c r="E39" i="3" s="1"/>
  <c r="E55" i="3" s="1"/>
  <c r="L54" i="1"/>
  <c r="L55" i="1"/>
  <c r="L58" i="1"/>
  <c r="L52" i="1"/>
  <c r="AD55" i="8" l="1"/>
  <c r="AB33" i="7"/>
  <c r="Y33" i="7" a="1"/>
  <c r="Y45" i="7" a="1"/>
  <c r="AB45" i="7"/>
  <c r="Y34" i="7" a="1"/>
  <c r="AB34" i="7"/>
  <c r="Y26" i="7" a="1"/>
  <c r="AB26" i="7"/>
  <c r="AB21" i="7"/>
  <c r="Y21" i="7" a="1"/>
  <c r="P27" i="7"/>
  <c r="L27" i="7"/>
  <c r="L42" i="7"/>
  <c r="P42" i="7"/>
  <c r="L30" i="7"/>
  <c r="P30" i="7"/>
  <c r="K12" i="7"/>
  <c r="L12" i="7" s="1"/>
  <c r="E67" i="3"/>
  <c r="E81" i="3"/>
  <c r="F39" i="10"/>
  <c r="AH40" i="8"/>
  <c r="AH39" i="8"/>
  <c r="AH41" i="8"/>
  <c r="C14" i="2"/>
  <c r="C8" i="3" s="1"/>
  <c r="K123" i="3"/>
  <c r="F30" i="3"/>
  <c r="E45" i="3"/>
  <c r="E61" i="3" s="1"/>
  <c r="E127" i="3" s="1"/>
  <c r="E38" i="5"/>
  <c r="I37" i="5"/>
  <c r="I38" i="5" s="1"/>
  <c r="N47" i="5"/>
  <c r="N48" i="5" s="1"/>
  <c r="C43" i="5"/>
  <c r="C44" i="5" s="1"/>
  <c r="C42" i="5"/>
  <c r="E34" i="5"/>
  <c r="E44" i="3"/>
  <c r="E70" i="3"/>
  <c r="F28" i="3"/>
  <c r="F31" i="3"/>
  <c r="E46" i="3"/>
  <c r="E40" i="3"/>
  <c r="F40" i="3" s="1"/>
  <c r="E8" i="3"/>
  <c r="G14" i="2"/>
  <c r="E14" i="2"/>
  <c r="J14" i="2"/>
  <c r="D14" i="2"/>
  <c r="O62" i="1"/>
  <c r="O61" i="1"/>
  <c r="N62" i="1"/>
  <c r="N61" i="1"/>
  <c r="P48" i="1"/>
  <c r="P50" i="1"/>
  <c r="P52" i="1"/>
  <c r="P54" i="1"/>
  <c r="P55" i="1"/>
  <c r="P58" i="1"/>
  <c r="P59" i="1"/>
  <c r="O48" i="1"/>
  <c r="O52" i="1"/>
  <c r="O54" i="1"/>
  <c r="O58" i="1"/>
  <c r="O59" i="1"/>
  <c r="O47" i="1"/>
  <c r="H52" i="1"/>
  <c r="H50" i="1"/>
  <c r="H54" i="1"/>
  <c r="H58" i="1"/>
  <c r="H59" i="1"/>
  <c r="H47" i="1"/>
  <c r="Y27" i="7" l="1" a="1"/>
  <c r="AB27" i="7"/>
  <c r="Y42" i="7" a="1"/>
  <c r="AB42" i="7"/>
  <c r="Y30" i="7" a="1"/>
  <c r="AB30" i="7"/>
  <c r="AB12" i="7"/>
  <c r="Z38" i="8" s="1"/>
  <c r="Y12" i="7" a="1"/>
  <c r="K43" i="7"/>
  <c r="L43" i="7" s="1"/>
  <c r="N42" i="5"/>
  <c r="C147" i="3"/>
  <c r="F125" i="3"/>
  <c r="F45" i="3"/>
  <c r="F127" i="3"/>
  <c r="E60" i="3"/>
  <c r="E72" i="3" s="1"/>
  <c r="F44" i="3"/>
  <c r="F70" i="3"/>
  <c r="C4" i="4"/>
  <c r="C17" i="3"/>
  <c r="E74" i="3"/>
  <c r="G67" i="3"/>
  <c r="E119" i="3" s="1"/>
  <c r="F46" i="3"/>
  <c r="E62" i="3"/>
  <c r="F39" i="3"/>
  <c r="E56" i="3"/>
  <c r="E126" i="3" s="1"/>
  <c r="I14" i="2"/>
  <c r="F14" i="2"/>
  <c r="H14" i="2"/>
  <c r="D20" i="1"/>
  <c r="C20" i="1"/>
  <c r="C6" i="4" l="1"/>
  <c r="C11" i="4" s="1"/>
  <c r="K88" i="3"/>
  <c r="P43" i="7"/>
  <c r="AB43" i="7" s="1"/>
  <c r="Z42" i="8" s="1"/>
  <c r="E128" i="3"/>
  <c r="F126" i="3"/>
  <c r="F128" i="3" s="1"/>
  <c r="C8" i="4"/>
  <c r="G74" i="3"/>
  <c r="E71" i="3"/>
  <c r="E86" i="3"/>
  <c r="C9" i="4"/>
  <c r="F74" i="3"/>
  <c r="F72" i="3"/>
  <c r="C13" i="3"/>
  <c r="C15" i="3" s="1"/>
  <c r="E82" i="3"/>
  <c r="F82" i="3" s="1"/>
  <c r="E85" i="3"/>
  <c r="G70" i="3"/>
  <c r="Y43" i="7" l="1" a="1"/>
  <c r="L141" i="3"/>
  <c r="E109" i="3"/>
  <c r="G125" i="3"/>
  <c r="G126" i="3"/>
  <c r="G127" i="3"/>
  <c r="C146" i="3"/>
  <c r="C145" i="3"/>
  <c r="H125" i="3"/>
  <c r="H127" i="3"/>
  <c r="E141" i="3"/>
  <c r="E136" i="3"/>
  <c r="F135" i="3"/>
  <c r="L123" i="3"/>
  <c r="M123" i="3" s="1"/>
  <c r="L126" i="3"/>
  <c r="H126" i="3"/>
  <c r="E20" i="3"/>
  <c r="G71" i="3"/>
  <c r="E73" i="3"/>
  <c r="E91" i="3"/>
  <c r="H91" i="3" s="1"/>
  <c r="E92" i="3"/>
  <c r="H92" i="3" s="1"/>
  <c r="C5" i="4"/>
  <c r="C10" i="4" s="1"/>
  <c r="F71" i="3"/>
  <c r="G72" i="3"/>
  <c r="E110" i="3" l="1"/>
  <c r="E114" i="3" s="1"/>
  <c r="E77" i="3"/>
  <c r="F77" i="3" s="1"/>
  <c r="E25" i="3"/>
  <c r="F25" i="3" s="1"/>
  <c r="L143" i="3"/>
  <c r="L142" i="3"/>
  <c r="L137" i="3" s="1"/>
  <c r="E132" i="3"/>
  <c r="K125" i="3"/>
  <c r="K124" i="3"/>
  <c r="F136" i="3"/>
  <c r="F141" i="3"/>
  <c r="F132" i="3"/>
  <c r="K130" i="3" s="1"/>
  <c r="K126" i="3"/>
  <c r="M126" i="3" s="1"/>
  <c r="E78" i="3"/>
  <c r="E113" i="3"/>
  <c r="E103" i="3"/>
  <c r="C7" i="4"/>
  <c r="E88" i="3"/>
  <c r="F73" i="3"/>
  <c r="G73" i="3"/>
  <c r="E87" i="3"/>
  <c r="E93" i="3" s="1"/>
  <c r="H93" i="3" s="1"/>
  <c r="L138" i="3" l="1"/>
  <c r="L139" i="3" s="1"/>
  <c r="C37" i="4"/>
  <c r="C38" i="4"/>
  <c r="K13" i="7"/>
  <c r="L13" i="7" s="1"/>
  <c r="F37" i="10"/>
  <c r="F43" i="10" s="1"/>
  <c r="F106" i="3"/>
  <c r="H131" i="3"/>
  <c r="H130" i="3"/>
  <c r="E79" i="3"/>
  <c r="G77" i="3" s="1"/>
  <c r="F103" i="3"/>
  <c r="C12" i="4"/>
  <c r="E94" i="3"/>
  <c r="H85" i="3"/>
  <c r="H88" i="3"/>
  <c r="E89" i="3"/>
  <c r="G88" i="3" s="1"/>
  <c r="F7" i="10" l="1"/>
  <c r="D55" i="8"/>
  <c r="E55" i="8" s="1"/>
  <c r="M17" i="18"/>
  <c r="C5" i="18"/>
  <c r="F107" i="3"/>
  <c r="E107" i="3" s="1"/>
  <c r="E111" i="3" s="1"/>
  <c r="H94" i="3"/>
  <c r="E95" i="3"/>
  <c r="G78" i="3"/>
  <c r="F79" i="3"/>
  <c r="C35" i="4"/>
  <c r="C13" i="4"/>
  <c r="E96" i="3"/>
  <c r="F86" i="3"/>
  <c r="G86" i="3"/>
  <c r="G85" i="3"/>
  <c r="F87" i="3"/>
  <c r="F85" i="3"/>
  <c r="F88" i="3"/>
  <c r="C12" i="18" l="1"/>
  <c r="H5" i="18"/>
  <c r="G41" i="10"/>
  <c r="H46" i="10"/>
  <c r="H47" i="10" s="1"/>
  <c r="L7" i="10"/>
  <c r="O7" i="10"/>
  <c r="N17" i="18"/>
  <c r="C20" i="18"/>
  <c r="B20" i="18"/>
  <c r="B23" i="18" s="1"/>
  <c r="C41" i="4"/>
  <c r="AB13" i="7"/>
  <c r="Y13" i="7" a="1"/>
  <c r="G103" i="3"/>
  <c r="G107" i="3"/>
  <c r="E134" i="3"/>
  <c r="E115" i="3"/>
  <c r="E112" i="3"/>
  <c r="F97" i="3"/>
  <c r="F96" i="3"/>
  <c r="G96" i="3" s="1"/>
  <c r="F94" i="3"/>
  <c r="F93" i="3"/>
  <c r="G93" i="3"/>
  <c r="F92" i="3"/>
  <c r="F91" i="3"/>
  <c r="C28" i="18" l="1"/>
  <c r="C23" i="18"/>
  <c r="B28" i="18"/>
  <c r="D20" i="18"/>
  <c r="E20" i="18"/>
  <c r="C53" i="4"/>
  <c r="C43" i="4"/>
  <c r="C44" i="4" s="1"/>
  <c r="C47" i="4" s="1"/>
  <c r="C42" i="4"/>
  <c r="L124" i="3"/>
  <c r="M124" i="3" s="1"/>
  <c r="E140" i="3"/>
  <c r="F134" i="3"/>
  <c r="L125" i="3"/>
  <c r="E137" i="3"/>
  <c r="E116" i="3"/>
  <c r="F115" i="3" s="1"/>
  <c r="F110" i="3"/>
  <c r="F109" i="3"/>
  <c r="F111" i="3"/>
  <c r="C31" i="18" l="1"/>
  <c r="B31" i="18"/>
  <c r="D28" i="18"/>
  <c r="D31" i="18" s="1"/>
  <c r="D23" i="18"/>
  <c r="E28" i="18"/>
  <c r="E31" i="18" s="1"/>
  <c r="E23" i="18"/>
  <c r="C45" i="4"/>
  <c r="C48" i="4"/>
  <c r="C49" i="4" s="1"/>
  <c r="C54" i="4"/>
  <c r="E142" i="3"/>
  <c r="F137" i="3"/>
  <c r="F140" i="3"/>
  <c r="G135" i="3"/>
  <c r="G136" i="3"/>
  <c r="G134" i="3"/>
  <c r="F114" i="3"/>
  <c r="F113" i="3"/>
  <c r="H113" i="3" s="1"/>
  <c r="F116" i="3"/>
  <c r="H116" i="3" s="1"/>
  <c r="C50" i="4" l="1"/>
  <c r="C55" i="4"/>
  <c r="G141" i="3"/>
  <c r="G140" i="3"/>
  <c r="H136" i="3"/>
  <c r="L130" i="3"/>
  <c r="M130" i="3" s="1"/>
  <c r="H135" i="3"/>
  <c r="H134" i="3"/>
  <c r="F142" i="3"/>
  <c r="M125" i="3"/>
  <c r="H141" i="3" l="1"/>
  <c r="H140" i="3"/>
  <c r="G131" i="3"/>
  <c r="G130" i="3"/>
  <c r="Z39" i="8" l="1"/>
  <c r="A9" i="4" l="1"/>
  <c r="A4" i="4"/>
  <c r="AG38" i="8"/>
  <c r="AF38" i="8"/>
  <c r="O38" i="8"/>
  <c r="P37" i="8"/>
  <c r="E34" i="8"/>
  <c r="A25" i="8"/>
  <c r="Y77" i="7"/>
  <c r="Y76" i="7"/>
  <c r="Y75" i="7"/>
  <c r="Y74" i="7"/>
  <c r="Y73" i="7"/>
  <c r="Y72" i="7"/>
  <c r="Y71" i="7"/>
  <c r="Y70" i="7"/>
  <c r="Y69" i="7"/>
  <c r="Y68" i="7"/>
  <c r="Y67" i="7"/>
  <c r="Y66" i="7"/>
  <c r="Y65" i="7"/>
  <c r="Y64" i="7"/>
  <c r="Y63" i="7"/>
  <c r="Y62" i="7"/>
  <c r="Y61" i="7"/>
  <c r="Y60" i="7"/>
  <c r="Y59" i="7"/>
  <c r="Y56" i="7"/>
  <c r="Y53" i="7"/>
  <c r="Y52" i="7"/>
  <c r="Y49" i="7"/>
  <c r="Y48" i="7"/>
  <c r="Y47" i="7"/>
  <c r="Y46" i="7"/>
  <c r="Y45" i="7"/>
  <c r="Y44" i="7"/>
  <c r="Y43" i="7"/>
  <c r="Y42" i="7"/>
  <c r="Y41" i="7"/>
  <c r="Y40" i="7"/>
  <c r="Y39" i="7"/>
  <c r="Y38" i="7"/>
  <c r="Y37" i="7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6" i="7"/>
  <c r="Y15" i="7"/>
  <c r="Y14" i="7"/>
  <c r="Y13" i="7"/>
  <c r="Y12" i="7"/>
  <c r="Y11" i="7"/>
  <c r="Y10" i="7"/>
  <c r="Y9" i="7"/>
  <c r="Y8" i="7"/>
  <c r="B5" i="18"/>
  <c r="G5" i="18"/>
  <c r="B6" i="18"/>
  <c r="C6" i="18"/>
  <c r="G6" i="18"/>
  <c r="H6" i="18"/>
  <c r="B7" i="18"/>
  <c r="C7" i="18"/>
  <c r="G7" i="18"/>
  <c r="H7" i="18"/>
  <c r="B12" i="18"/>
  <c r="B13" i="18"/>
  <c r="C13" i="18"/>
  <c r="B14" i="18"/>
  <c r="C14" i="18"/>
  <c r="B15" i="18"/>
  <c r="C15" i="18"/>
  <c r="C2" i="8"/>
  <c r="D2" i="8"/>
  <c r="C3" i="8"/>
  <c r="D3" i="8"/>
  <c r="C4" i="8"/>
  <c r="C5" i="8"/>
  <c r="C6" i="8"/>
  <c r="C7" i="8"/>
  <c r="F7" i="8"/>
  <c r="C8" i="8"/>
  <c r="C9" i="8"/>
  <c r="C10" i="8"/>
  <c r="B26" i="8"/>
  <c r="C26" i="8"/>
  <c r="B27" i="8"/>
  <c r="C27" i="8"/>
  <c r="B28" i="8"/>
  <c r="C28" i="8"/>
  <c r="B30" i="8"/>
  <c r="C30" i="8"/>
  <c r="B31" i="8"/>
  <c r="C31" i="8"/>
  <c r="B34" i="8"/>
  <c r="C34" i="8"/>
  <c r="P36" i="8"/>
  <c r="U38" i="8"/>
  <c r="V38" i="8"/>
  <c r="AA38" i="8"/>
  <c r="AC38" i="8"/>
  <c r="AD38" i="8"/>
  <c r="S39" i="8"/>
  <c r="U39" i="8"/>
  <c r="V39" i="8"/>
  <c r="AA39" i="8"/>
  <c r="AC39" i="8"/>
  <c r="AD39" i="8"/>
  <c r="AA40" i="8"/>
  <c r="AC40" i="8"/>
  <c r="AD40" i="8"/>
  <c r="P41" i="8"/>
  <c r="S41" i="8"/>
  <c r="T41" i="8"/>
  <c r="U41" i="8"/>
  <c r="Z41" i="8"/>
  <c r="AA41" i="8"/>
  <c r="AC41" i="8"/>
  <c r="AD41" i="8"/>
  <c r="S42" i="8"/>
  <c r="T42" i="8"/>
  <c r="U42" i="8"/>
  <c r="V42" i="8"/>
  <c r="AA42" i="8"/>
  <c r="AC42" i="8"/>
  <c r="AD42" i="8"/>
  <c r="U43" i="8"/>
  <c r="AA43" i="8"/>
  <c r="AC43" i="8"/>
  <c r="AD43" i="8"/>
  <c r="P44" i="8"/>
  <c r="S44" i="8"/>
  <c r="T44" i="8"/>
  <c r="U44" i="8"/>
  <c r="V44" i="8"/>
  <c r="Z44" i="8"/>
  <c r="AA44" i="8"/>
  <c r="AC44" i="8"/>
  <c r="AD44" i="8"/>
  <c r="AD48" i="8"/>
  <c r="AD49" i="8"/>
  <c r="B50" i="8" a="1"/>
  <c r="B50" i="8"/>
  <c r="C50" i="8" a="1"/>
  <c r="C50" i="8"/>
  <c r="D50" i="8"/>
  <c r="E50" i="8"/>
  <c r="AD50" i="8"/>
  <c r="AD52" i="8"/>
  <c r="D53" i="8"/>
  <c r="E53" i="8"/>
  <c r="AD53" i="8"/>
  <c r="D54" i="8"/>
  <c r="E54" i="8"/>
  <c r="AD54" i="8"/>
  <c r="C56" i="8"/>
  <c r="E56" i="8"/>
  <c r="AD57" i="8"/>
  <c r="B66" i="8"/>
  <c r="J68" i="8"/>
  <c r="F69" i="8"/>
  <c r="F70" i="8"/>
  <c r="B75" i="8"/>
  <c r="B77" i="8"/>
  <c r="E78" i="8"/>
  <c r="E79" i="8"/>
  <c r="E80" i="8"/>
  <c r="I80" i="8"/>
  <c r="E81" i="8"/>
  <c r="I81" i="8"/>
  <c r="B85" i="8"/>
  <c r="C85" i="8"/>
  <c r="G85" i="8"/>
  <c r="H85" i="8"/>
  <c r="I85" i="8"/>
  <c r="K85" i="8"/>
  <c r="D86" i="8"/>
  <c r="E86" i="8"/>
  <c r="F86" i="8"/>
  <c r="G86" i="8"/>
  <c r="H86" i="8"/>
  <c r="I86" i="8"/>
  <c r="K86" i="8"/>
  <c r="D87" i="8"/>
  <c r="E87" i="8"/>
  <c r="F87" i="8"/>
  <c r="G87" i="8"/>
  <c r="H87" i="8"/>
  <c r="I87" i="8"/>
  <c r="K87" i="8"/>
  <c r="D88" i="8"/>
  <c r="E88" i="8"/>
  <c r="F88" i="8"/>
  <c r="G88" i="8"/>
  <c r="H88" i="8"/>
  <c r="I88" i="8"/>
  <c r="K88" i="8"/>
  <c r="D89" i="8"/>
  <c r="E89" i="8"/>
  <c r="F89" i="8"/>
  <c r="G89" i="8"/>
  <c r="H89" i="8"/>
  <c r="I89" i="8"/>
  <c r="K89" i="8"/>
  <c r="D90" i="8"/>
  <c r="E90" i="8"/>
  <c r="F90" i="8"/>
  <c r="G90" i="8"/>
  <c r="H90" i="8"/>
  <c r="I90" i="8"/>
  <c r="K90" i="8"/>
  <c r="D91" i="8"/>
  <c r="E91" i="8"/>
  <c r="F91" i="8"/>
  <c r="G91" i="8"/>
  <c r="H91" i="8"/>
  <c r="I91" i="8"/>
  <c r="K91" i="8"/>
  <c r="D92" i="8"/>
  <c r="E92" i="8"/>
  <c r="F92" i="8"/>
  <c r="G92" i="8"/>
  <c r="H92" i="8"/>
  <c r="I92" i="8"/>
  <c r="K92" i="8"/>
  <c r="D93" i="8"/>
  <c r="E93" i="8"/>
  <c r="F93" i="8"/>
  <c r="G93" i="8"/>
  <c r="H93" i="8"/>
  <c r="I93" i="8"/>
  <c r="K93" i="8"/>
  <c r="D94" i="8"/>
  <c r="E94" i="8"/>
  <c r="F94" i="8"/>
  <c r="G94" i="8"/>
  <c r="H94" i="8"/>
  <c r="I94" i="8"/>
  <c r="K94" i="8"/>
  <c r="D95" i="8"/>
  <c r="E95" i="8"/>
  <c r="F95" i="8"/>
  <c r="G95" i="8"/>
  <c r="H95" i="8"/>
  <c r="I95" i="8"/>
  <c r="K95" i="8"/>
  <c r="E96" i="8"/>
  <c r="F96" i="8"/>
  <c r="G96" i="8"/>
  <c r="H96" i="8"/>
  <c r="I96" i="8"/>
  <c r="K96" i="8"/>
  <c r="E97" i="8"/>
  <c r="F97" i="8"/>
  <c r="G97" i="8"/>
  <c r="H97" i="8"/>
  <c r="I97" i="8"/>
  <c r="K97" i="8"/>
  <c r="E98" i="8"/>
  <c r="F98" i="8"/>
  <c r="G98" i="8"/>
  <c r="H98" i="8"/>
  <c r="I98" i="8"/>
  <c r="K98" i="8"/>
  <c r="E99" i="8"/>
  <c r="F99" i="8"/>
  <c r="G99" i="8"/>
  <c r="H99" i="8"/>
  <c r="I99" i="8"/>
  <c r="K99" i="8"/>
  <c r="E100" i="8"/>
  <c r="F100" i="8"/>
  <c r="G100" i="8"/>
  <c r="H100" i="8"/>
  <c r="I100" i="8"/>
  <c r="K100" i="8"/>
  <c r="E101" i="8"/>
  <c r="F101" i="8"/>
  <c r="G101" i="8"/>
  <c r="H101" i="8"/>
  <c r="I101" i="8"/>
  <c r="K101" i="8"/>
  <c r="E102" i="8"/>
  <c r="F102" i="8"/>
  <c r="G102" i="8"/>
  <c r="H102" i="8"/>
  <c r="I102" i="8"/>
  <c r="K102" i="8"/>
  <c r="E103" i="8"/>
  <c r="F103" i="8"/>
  <c r="G103" i="8"/>
  <c r="H103" i="8"/>
  <c r="I103" i="8"/>
  <c r="K103" i="8"/>
  <c r="E104" i="8"/>
  <c r="F104" i="8"/>
  <c r="G104" i="8"/>
  <c r="H104" i="8"/>
  <c r="I104" i="8"/>
  <c r="K104" i="8"/>
  <c r="C105" i="8"/>
  <c r="E105" i="8"/>
  <c r="F105" i="8"/>
  <c r="G105" i="8"/>
  <c r="H105" i="8"/>
  <c r="I105" i="8"/>
  <c r="K105" i="8"/>
  <c r="E106" i="8"/>
  <c r="F106" i="8"/>
  <c r="G106" i="8"/>
  <c r="H106" i="8"/>
  <c r="I106" i="8"/>
  <c r="K106" i="8"/>
  <c r="E107" i="8"/>
  <c r="F107" i="8"/>
  <c r="G107" i="8"/>
  <c r="H107" i="8"/>
  <c r="I107" i="8"/>
  <c r="K107" i="8"/>
  <c r="E108" i="8"/>
  <c r="F108" i="8"/>
  <c r="G108" i="8"/>
  <c r="H108" i="8"/>
  <c r="I108" i="8"/>
  <c r="K108" i="8"/>
  <c r="E109" i="8"/>
  <c r="F109" i="8"/>
  <c r="G109" i="8"/>
  <c r="H109" i="8"/>
  <c r="I109" i="8"/>
  <c r="K109" i="8"/>
  <c r="E110" i="8"/>
  <c r="F110" i="8"/>
  <c r="G110" i="8"/>
  <c r="H110" i="8"/>
  <c r="I110" i="8"/>
  <c r="K110" i="8"/>
  <c r="E111" i="8"/>
  <c r="F111" i="8"/>
  <c r="G111" i="8"/>
  <c r="H111" i="8"/>
  <c r="I111" i="8"/>
  <c r="K111" i="8"/>
  <c r="E112" i="8"/>
  <c r="F112" i="8"/>
  <c r="G112" i="8"/>
  <c r="H112" i="8"/>
  <c r="I112" i="8"/>
  <c r="K112" i="8"/>
  <c r="E113" i="8"/>
  <c r="F113" i="8"/>
  <c r="G113" i="8"/>
  <c r="H113" i="8"/>
  <c r="I113" i="8"/>
  <c r="K113" i="8"/>
  <c r="E114" i="8"/>
  <c r="F114" i="8"/>
  <c r="G114" i="8"/>
  <c r="H114" i="8"/>
  <c r="I114" i="8"/>
  <c r="K114" i="8"/>
  <c r="E115" i="8"/>
  <c r="F115" i="8"/>
  <c r="G115" i="8"/>
  <c r="H115" i="8"/>
  <c r="I115" i="8"/>
  <c r="K115" i="8"/>
  <c r="E116" i="8"/>
  <c r="F116" i="8"/>
  <c r="G116" i="8"/>
  <c r="H116" i="8"/>
  <c r="I116" i="8"/>
  <c r="K116" i="8"/>
  <c r="E117" i="8"/>
  <c r="F117" i="8"/>
  <c r="G117" i="8"/>
  <c r="H117" i="8"/>
  <c r="I117" i="8"/>
  <c r="K117" i="8"/>
  <c r="E118" i="8"/>
  <c r="F118" i="8"/>
  <c r="G118" i="8"/>
  <c r="H118" i="8"/>
  <c r="I118" i="8"/>
  <c r="K118" i="8"/>
  <c r="E119" i="8"/>
  <c r="F119" i="8"/>
  <c r="G119" i="8"/>
  <c r="H119" i="8"/>
  <c r="I119" i="8"/>
  <c r="K119" i="8"/>
  <c r="E120" i="8"/>
  <c r="F120" i="8"/>
  <c r="G120" i="8"/>
  <c r="H120" i="8"/>
  <c r="I120" i="8"/>
  <c r="K120" i="8"/>
  <c r="E121" i="8"/>
  <c r="F121" i="8"/>
  <c r="G121" i="8"/>
  <c r="H121" i="8"/>
  <c r="I121" i="8"/>
  <c r="K121" i="8"/>
  <c r="E122" i="8"/>
  <c r="F122" i="8"/>
  <c r="G122" i="8"/>
  <c r="H122" i="8"/>
  <c r="I122" i="8"/>
  <c r="K122" i="8"/>
  <c r="E123" i="8"/>
  <c r="F123" i="8"/>
  <c r="G123" i="8"/>
  <c r="H123" i="8"/>
  <c r="I123" i="8"/>
  <c r="K123" i="8"/>
  <c r="E124" i="8"/>
  <c r="F124" i="8"/>
  <c r="G124" i="8"/>
  <c r="H124" i="8"/>
  <c r="I124" i="8"/>
  <c r="K124" i="8"/>
  <c r="E125" i="8"/>
  <c r="F125" i="8"/>
  <c r="G125" i="8"/>
  <c r="H125" i="8"/>
  <c r="I125" i="8"/>
  <c r="K125" i="8"/>
  <c r="C24" i="3"/>
  <c r="D24" i="3"/>
  <c r="C27" i="3"/>
  <c r="D27" i="3"/>
  <c r="C28" i="3"/>
  <c r="D28" i="3"/>
  <c r="C29" i="3"/>
  <c r="D29" i="3"/>
  <c r="C31" i="3"/>
  <c r="D31" i="3"/>
  <c r="C46" i="3"/>
  <c r="D46" i="3"/>
  <c r="I9" i="10"/>
  <c r="L9" i="10"/>
  <c r="O9" i="10"/>
  <c r="I10" i="10"/>
  <c r="L10" i="10"/>
  <c r="O10" i="10"/>
  <c r="F46" i="10"/>
  <c r="G46" i="10"/>
  <c r="F47" i="10"/>
  <c r="G47" i="10"/>
  <c r="I47" i="10"/>
  <c r="F49" i="10"/>
  <c r="G49" i="10"/>
  <c r="F51" i="10"/>
  <c r="F52" i="10"/>
  <c r="I17" i="7"/>
  <c r="K17" i="7"/>
  <c r="L17" i="7"/>
  <c r="P17" i="7"/>
  <c r="Y17" i="7" a="1"/>
  <c r="Y17" i="7"/>
  <c r="AB17" i="7"/>
  <c r="I18" i="7"/>
  <c r="K18" i="7"/>
  <c r="L18" i="7"/>
  <c r="P18" i="7"/>
  <c r="Y18" i="7" a="1"/>
  <c r="Y18" i="7"/>
  <c r="AB18" i="7"/>
  <c r="Y50" i="7"/>
  <c r="AB50" i="7"/>
  <c r="Y51" i="7"/>
  <c r="AB51" i="7"/>
  <c r="C48" i="2"/>
  <c r="C73" i="2"/>
  <c r="C76" i="2"/>
  <c r="C79" i="2"/>
  <c r="C8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tc={5EF9D8D4-3E6B-4426-9A4A-C12BE4F970C9}</author>
    <author>tc={0EB58C95-1C14-4A67-A87E-D36D7404CA5E}</author>
    <author>tc={DA6E8D3D-BCB9-4353-A466-2E4FD05D14A0}</author>
    <author>tc={BD287E4E-A23F-49CE-9FE5-0907F6CD305A}</author>
    <author>tc={9F56D5DA-03E7-46A0-8CF8-B34CEFEAAAB4}</author>
    <author>tc={9270CB7F-83A9-4320-B214-B9AA5F59E62E}</author>
    <author>tc={B17109B2-4FCD-4730-9A42-C4B49AF3C261}</author>
    <author>tc={641C266B-6238-444B-8009-CBB606A7C228}</author>
    <author>tc={940661C2-1A2F-43B2-826A-A70A20B09851}</author>
    <author>tc={DCEB98A6-5F58-4783-B998-F11F25AD5E5E}</author>
  </authors>
  <commentList>
    <comment ref="C22" authorId="0" shapeId="0" xr:uid="{5EF9D8D4-3E6B-4426-9A4A-C12BE4F970C9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Hauch 2020</t>
      </text>
    </comment>
    <comment ref="C23" authorId="1" shapeId="0" xr:uid="{0EB58C95-1C14-4A67-A87E-D36D7404CA5E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Hauch2020</t>
      </text>
    </comment>
    <comment ref="C24" authorId="2" shapeId="0" xr:uid="{DA6E8D3D-BCB9-4353-A466-2E4FD05D14A0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Küngas2020</t>
      </text>
    </comment>
    <comment ref="C27" authorId="3" shapeId="0" xr:uid="{BD287E4E-A23F-49CE-9FE5-0907F6CD305A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Ramdin2021: SOEC requires 6 kWh/Nm3 of CO
Using Küngas2019 number of 3.3 kWh/Nm3 of CO yields very similar number as derived from own calculation based on Hauch2020 paper</t>
      </text>
    </comment>
    <comment ref="C29" authorId="4" shapeId="0" xr:uid="{9F56D5DA-03E7-46A0-8CF8-B34CEFEAAAB4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Assuming optimistic value for 2035 from [Hauch2020]</t>
      </text>
    </comment>
    <comment ref="C30" authorId="5" shapeId="0" xr:uid="{9270CB7F-83A9-4320-B214-B9AA5F59E62E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[Hauch2020]</t>
      </text>
    </comment>
    <comment ref="G45" authorId="6" shapeId="0" xr:uid="{B17109B2-4FCD-4730-9A42-C4B49AF3C261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golden cells from Fan2020a</t>
      </text>
    </comment>
    <comment ref="I45" authorId="7" shapeId="0" xr:uid="{641C266B-6238-444B-8009-CBB606A7C228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from Dorn2025</t>
      </text>
    </comment>
    <comment ref="K45" authorId="8" shapeId="0" xr:uid="{940661C2-1A2F-43B2-826A-A70A20B09851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OBrien2024</t>
      </text>
    </comment>
    <comment ref="M45" authorId="9" shapeId="0" xr:uid="{DCEB98A6-5F58-4783-B998-F11F25AD5E5E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from Dorn2025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tc={A6B6B2E3-D488-48B3-86AE-02F30716032B}</author>
    <author>tc={165EFFD9-D5AF-4586-AD1D-D6697DFE9B94}</author>
    <author>tc={93F03ED5-E9EA-47A8-BEFE-0D5BCDF1EBBD}</author>
    <author>tc={0FDBC0E7-1ED9-4626-ACD6-813FC72067AF}</author>
    <author>tc={C2D9EC70-6612-4585-8C2E-008B11C11F6A}</author>
    <author>tc={1F6D3A95-D4E1-4763-BD45-E3C684728A0D}</author>
    <author>tc={5EDA63C5-5035-4CDF-86F4-7DEE27923BE7}</author>
    <author>tc={72ED352C-8843-42B6-BB8A-2657F15D2B65}</author>
    <author>tc={469CE88F-4557-49D9-AA14-6BEFE3578296}</author>
    <author>tc={AEFEACAD-8015-4210-A44F-172DB7295FFC}</author>
    <author>tc={EA79C00D-5E30-4F71-983A-900642DCFAE6}</author>
    <author>tc={ED005F36-5210-4291-8C90-E77455A5FA66}</author>
    <author>tc={9BFAB8A3-1852-406D-9530-B5CF0997DAC3}</author>
    <author>tc={A50AB10B-C1A4-4332-84E4-F5B5ACA44680}</author>
    <author>tc={A1F7FC22-B801-46DB-9613-FA662603086B}</author>
    <author>tc={C2BC53B7-D10E-4F5C-82BF-910FE4CE869F}</author>
    <author>tc={D0599A7A-ABD5-439F-B885-4D3D7C8D6325}</author>
    <author>tc={5AFA766A-64A3-4880-BC35-D9F53F2CCB2A}</author>
    <author>tc={9D6C0640-49D1-4FCE-8565-07813D78CDEF}</author>
    <author>tc={3E190B6B-B3FD-4732-922C-1E8A160F184B}</author>
    <author>tc={C9406CB4-D032-4F2C-80DD-CFE517E911E6}</author>
    <author>tc={6665334A-34D5-4DB5-9496-2206BF5007A3}</author>
    <author>tc={1DE3ECC3-5BB4-4E4E-BEB5-115F61762119}</author>
    <author>tc={5AAC3AF1-EE4A-44CC-BD68-9261898DE556}</author>
    <author>tc={65D4621F-59AE-4E89-9325-976DE34A476F}</author>
    <author>tc={A1E24734-4A83-4731-9BD1-15FB57775D49}</author>
    <author>tc={EE3EFA15-C19E-4081-9C5E-16E672F06222}</author>
    <author>tc={952EC6CB-27A8-47E8-AFF2-CA0692B057EC}</author>
    <author>tc={1A549C01-8E10-47C2-B54C-B25E16287CA3}</author>
    <author>tc={A2FDB2E9-F337-4BE3-A033-37DDF18F68A1}</author>
    <author>tc={EFBC80FC-8E45-4B9A-9367-F4A8CD45BA50}</author>
    <author>tc={99524B1B-79A9-46B3-A012-884976CB96C4}</author>
    <author>tc={A39993CB-A467-491B-AE2D-43BB36E38918}</author>
    <author>tc={216E3B65-9DD2-4DCE-A640-F0A34F93EE07}</author>
    <author>tc={44DA865A-7F4D-460E-9AB2-6D1397788888}</author>
    <author>tc={DE3D0371-A13F-49DA-B506-0AE19A037DEC}</author>
    <author>tc={457864D5-F32C-40AA-A0BE-43E9D9716EFF}</author>
    <author>tc={BAFF101E-EBEA-4B59-A1C8-F0C3AA21D1F7}</author>
  </authors>
  <commentList>
    <comment ref="M5" authorId="0" shapeId="0" xr:uid="{A6B6B2E3-D488-48B3-86AE-02F30716032B}">
      <text>
        <t>[Threaded comment]
Your version of Excel allows you to read this threaded comment; however, any edits to it will get removed if the file is opened in a newer version of Excel. Learn more: https://go.microsoft.com/fwlink/?linkid=870924
Comment:
    Catholyte gas continuously supplied, while anolyte is recirculated and replenished every 24 hours</t>
      </text>
    </comment>
    <comment ref="H6" authorId="1" shapeId="0" xr:uid="{165EFFD9-D5AF-4586-AD1D-D6697DFE9B94}">
      <text>
        <t>[Threaded comment]
Your version of Excel allows you to read this threaded comment; however, any edits to it will get removed if the file is opened in a newer version of Excel. Learn more: https://go.microsoft.com/fwlink/?linkid=870924
Comment:
    CO2 delivered at 20 mL/min to cathode department</t>
      </text>
    </comment>
    <comment ref="I6" authorId="2" shapeId="0" xr:uid="{93F03ED5-E9EA-47A8-BEFE-0D5BCDF1EBBD}">
      <text>
        <t>[Threaded comment]
Your version of Excel allows you to read this threaded comment; however, any edits to it will get removed if the file is opened in a newer version of Excel. Learn more: https://go.microsoft.com/fwlink/?linkid=870924
Comment:
    Flow rate 50 mL/min</t>
      </text>
    </comment>
    <comment ref="J6" authorId="3" shapeId="0" xr:uid="{0FDBC0E7-1ED9-4626-ACD6-813FC72067AF}">
      <text>
        <t>[Threaded comment]
Your version of Excel allows you to read this threaded comment; however, any edits to it will get removed if the file is opened in a newer version of Excel. Learn more: https://go.microsoft.com/fwlink/?linkid=870924
Comment:
    28.5 mL/min CO + 1.5 mL/min N2</t>
      </text>
    </comment>
    <comment ref="L6" authorId="4" shapeId="0" xr:uid="{C2D9EC70-6612-4585-8C2E-008B11C11F6A}">
      <text>
        <t>[Threaded comment]
Your version of Excel allows you to read this threaded comment; however, any edits to it will get removed if the file is opened in a newer version of Excel. Learn more: https://go.microsoft.com/fwlink/?linkid=870924
Comment:
    30 SCCM of CO</t>
      </text>
    </comment>
    <comment ref="M6" authorId="5" shapeId="0" xr:uid="{1F6D3A95-D4E1-4763-BD45-E3C684728A0D}">
      <text>
        <t>[Threaded comment]
Your version of Excel allows you to read this threaded comment; however, any edits to it will get removed if the file is opened in a newer version of Excel. Learn more: https://go.microsoft.com/fwlink/?linkid=870924
Comment:
    Flow rate 10 SCCM at 15.5 psia</t>
      </text>
    </comment>
    <comment ref="H7" authorId="6" shapeId="0" xr:uid="{5EDA63C5-5035-4CDF-86F4-7DEE27923BE7}">
      <text>
        <t>[Threaded comment]
Your version of Excel allows you to read this threaded comment; however, any edits to it will get removed if the file is opened in a newer version of Excel. Learn more: https://go.microsoft.com/fwlink/?linkid=870924
Comment:
    Both anolyte and catholyte at fixed flowrate of 20 mL/min</t>
      </text>
    </comment>
    <comment ref="I7" authorId="7" shapeId="0" xr:uid="{72ED352C-8843-42B6-BB8A-2657F15D2B65}">
      <text>
        <t>[Threaded comment]
Your version of Excel allows you to read this threaded comment; however, any edits to it will get removed if the file is opened in a newer version of Excel. Learn more: https://go.microsoft.com/fwlink/?linkid=870924
Comment:
    Flowrate 10 mL/min</t>
      </text>
    </comment>
    <comment ref="J7" authorId="8" shapeId="0" xr:uid="{469CE88F-4557-49D9-AA14-6BEFE3578296}">
      <text>
        <t>[Threaded comment]
Your version of Excel allows you to read this threaded comment; however, any edits to it will get removed if the file is opened in a newer version of Excel. Learn more: https://go.microsoft.com/fwlink/?linkid=870924
Comment:
    5 mL/min</t>
      </text>
    </comment>
    <comment ref="L7" authorId="9" shapeId="0" xr:uid="{AEFEACAD-8015-4210-A44F-172DB7295FFC}">
      <text>
        <t>[Threaded comment]
Your version of Excel allows you to read this threaded comment; however, any edits to it will get removed if the file is opened in a newer version of Excel. Learn more: https://go.microsoft.com/fwlink/?linkid=870924
Comment:
    Flow rate of 1M KOH: 0.5 mL/min, again using density of 1.042 kg/L</t>
      </text>
    </comment>
    <comment ref="M7" authorId="10" shapeId="0" xr:uid="{EA79C00D-5E30-4F71-983A-900642DCFAE6}">
      <text>
        <t>[Threaded comment]
Your version of Excel allows you to read this threaded comment; however, any edits to it will get removed if the file is opened in a newer version of Excel. Learn more: https://go.microsoft.com/fwlink/?linkid=870924
Comment:
    40 mL of catholyte recirculated for 24 hours achieving 1.93 M acetate concentration</t>
      </text>
    </comment>
    <comment ref="F10" authorId="11" shapeId="0" xr:uid="{ED005F36-5210-4291-8C90-E77455A5FA66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Assumption since paper only states non-iR compensated cathodic potential vs RHE</t>
      </text>
    </comment>
    <comment ref="H10" authorId="12" shapeId="0" xr:uid="{9BFAB8A3-1852-406D-9530-B5CF0997DAC3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Assumption</t>
      </text>
    </comment>
    <comment ref="M12" authorId="13" shapeId="0" xr:uid="{A50AB10B-C1A4-4332-84E4-F5B5ACA44680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source data of Fig1</t>
      </text>
    </comment>
    <comment ref="C13" authorId="14" shapeId="0" xr:uid="{A1F7FC22-B801-46DB-9613-FA662603086B}">
      <text>
        <t>[Threaded comment]
Your version of Excel allows you to read this threaded comment; however, any edits to it will get removed if the file is opened in a newer version of Excel. Learn more: https://go.microsoft.com/fwlink/?linkid=870924
Comment:
    SPC of CO from SI</t>
      </text>
    </comment>
    <comment ref="F13" authorId="15" shapeId="0" xr:uid="{C2BC53B7-D10E-4F5C-82BF-910FE4CE869F}">
      <text>
        <t>[Threaded comment]
Your version of Excel allows you to read this threaded comment; however, any edits to it will get removed if the file is opened in a newer version of Excel. Learn more: https://go.microsoft.com/fwlink/?linkid=870924
Comment:
    20 sccm of CO2 flow given for 1 cm2 cathode at production rate of 1.80 mmol/cm2 / h</t>
      </text>
    </comment>
    <comment ref="G13" authorId="16" shapeId="0" xr:uid="{D0599A7A-ABD5-439F-B885-4D3D7C8D6325}">
      <text>
        <t>[Threaded comment]
Your version of Excel allows you to read this threaded comment; however, any edits to it will get removed if the file is opened in a newer version of Excel. Learn more: https://go.microsoft.com/fwlink/?linkid=870924
Comment:
    Infos mostly from Fig2 and SI Fig1: 4.2 wt% EtOH and 1.8wt% PrOH in Cathode outlet, see also SI Tab12 for other concentrations, but interpolation of results will be tricky without major assumptions</t>
      </text>
    </comment>
    <comment ref="A14" authorId="17" shapeId="0" xr:uid="{5AFA766A-64A3-4880-BC35-D9F53F2CCB2A}">
      <text>
        <t>[Threaded comment]
Your version of Excel allows you to read this threaded comment; however, any edits to it will get removed if the file is opened in a newer version of Excel. Learn more: https://go.microsoft.com/fwlink/?linkid=870924
Comment:
    Meaning remainder of electric energy is converted to waste heat</t>
      </text>
    </comment>
    <comment ref="M14" authorId="18" shapeId="0" xr:uid="{9D6C0640-49D1-4FCE-8565-07813D78CDEF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old non-modified data</t>
      </text>
    </comment>
    <comment ref="J23" authorId="19" shapeId="0" xr:uid="{3E190B6B-B3FD-4732-922C-1E8A160F184B}">
      <text>
        <t>[Threaded comment]
Your version of Excel allows you to read this threaded comment; however, any edits to it will get removed if the file is opened in a newer version of Excel. Learn more: https://go.microsoft.com/fwlink/?linkid=870924
Comment:
    FE from Fig 1d
Selectivites of CO conversion from Extended Data Fig 4:
S_CO,AA = 74.2%
S_CO,C2H4 = 16.6%
S_CO,EtOH = 6.6%
S_CO,PrOH = 2.6%</t>
      </text>
    </comment>
    <comment ref="K23" authorId="20" shapeId="0" xr:uid="{C9406CB4-D032-4F2C-80DD-CFE517E911E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Selectivites of CO conversion from Extended Data Fig 4:
S_CO,AA = 60.5%
S_CO,C2H4 = 21.7%
S_CO,EtOH = 8.9%
S_CO,PrOH = 8.9%
</t>
      </text>
    </comment>
    <comment ref="H25" authorId="21" shapeId="0" xr:uid="{6665334A-34D5-4DB5-9496-2206BF5007A3}">
      <text>
        <t>[Threaded comment]
Your version of Excel allows you to read this threaded comment; however, any edits to it will get removed if the file is opened in a newer version of Excel. Learn more: https://go.microsoft.com/fwlink/?linkid=870924
Comment:
    Production rate of EtOH: 3.87 mmol/h/cm^2, of C2+ 5.84 mmol/h/cm2</t>
      </text>
    </comment>
    <comment ref="P30" authorId="22" shapeId="0" xr:uid="{1DE3ECC3-5BB4-4E4E-BEB5-115F61762119}">
      <text>
        <t>[Threaded comment]
Your version of Excel allows you to read this threaded comment; however, any edits to it will get removed if the file is opened in a newer version of Excel. Learn more: https://go.microsoft.com/fwlink/?linkid=870924
Comment:
    Rescaled to 100%</t>
      </text>
    </comment>
    <comment ref="C33" authorId="23" shapeId="0" xr:uid="{5AAC3AF1-EE4A-44CC-BD68-9261898DE556}">
      <text>
        <t>[Threaded comment]
Your version of Excel allows you to read this threaded comment; however, any edits to it will get removed if the file is opened in a newer version of Excel. Learn more: https://go.microsoft.com/fwlink/?linkid=870924
Comment:
    SI states: 14617 kg/h of CO outlet flow with 0.061389 kg/s of Ethylene outlet flow and 0.039065 kg/s H2 outlet flow</t>
      </text>
    </comment>
    <comment ref="C47" authorId="24" shapeId="0" xr:uid="{65D4621F-59AE-4E89-9325-976DE34A476F}">
      <text>
        <t>[Threaded comment]
Your version of Excel allows you to read this threaded comment; however, any edits to it will get removed if the file is opened in a newer version of Excel. Learn more: https://go.microsoft.com/fwlink/?linkid=870924
Comment:
    30 SCCM of CO</t>
      </text>
    </comment>
    <comment ref="J47" authorId="25" shapeId="0" xr:uid="{A1E24734-4A83-4731-9BD1-15FB57775D49}">
      <text>
        <t>[Threaded comment]
Your version of Excel allows you to read this threaded comment; however, any edits to it will get removed if the file is opened in a newer version of Excel. Learn more: https://go.microsoft.com/fwlink/?linkid=870924
Comment:
    28.5 SCCM of CO</t>
      </text>
    </comment>
    <comment ref="L47" authorId="26" shapeId="0" xr:uid="{EE3EFA15-C19E-4081-9C5E-16E672F06222}">
      <text>
        <t>[Threaded comment]
Your version of Excel allows you to read this threaded comment; however, any edits to it will get removed if the file is opened in a newer version of Excel. Learn more: https://go.microsoft.com/fwlink/?linkid=870924
Comment:
    30 SCCM of CO</t>
      </text>
    </comment>
    <comment ref="M47" authorId="27" shapeId="0" xr:uid="{952EC6CB-27A8-47E8-AFF2-CA0692B057EC}">
      <text>
        <t>[Threaded comment]
Your version of Excel allows you to read this threaded comment; however, any edits to it will get removed if the file is opened in a newer version of Excel. Learn more: https://go.microsoft.com/fwlink/?linkid=870924
Comment:
    10 SCCM of CO</t>
      </text>
    </comment>
    <comment ref="C64" authorId="28" shapeId="0" xr:uid="{1A549C01-8E10-47C2-B54C-B25E16287CA3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4 mL/min DI water anolyte inlet flow</t>
      </text>
    </comment>
    <comment ref="J64" authorId="29" shapeId="0" xr:uid="{A2FDB2E9-F337-4BE3-A033-37DDF18F68A1}">
      <text>
        <t>[Threaded comment]
Your version of Excel allows you to read this threaded comment; however, any edits to it will get removed if the file is opened in a newer version of Excel. Learn more: https://go.microsoft.com/fwlink/?linkid=870924
Comment:
    5 mL/min of 1M KOH with density 1.042 kg/L</t>
      </text>
    </comment>
    <comment ref="L64" authorId="30" shapeId="0" xr:uid="{EFBC80FC-8E45-4B9A-9367-F4A8CD45BA50}">
      <text>
        <t>[Threaded comment]
Your version of Excel allows you to read this threaded comment; however, any edits to it will get removed if the file is opened in a newer version of Excel. Learn more: https://go.microsoft.com/fwlink/?linkid=870924
Comment:
    0.5 mL/min of 1M KOH with density 1.042 kg/L</t>
      </text>
    </comment>
    <comment ref="M64" authorId="31" shapeId="0" xr:uid="{99524B1B-79A9-46B3-A012-884976CB96C4}">
      <text>
        <t>[Threaded comment]
Your version of Excel allows you to read this threaded comment; however, any edits to it will get removed if the file is opened in a newer version of Excel. Learn more: https://go.microsoft.com/fwlink/?linkid=870924
Comment:
    40 mL of 3M KOH solution (density 1.13 kg/L) circulated for 24 hours</t>
      </text>
    </comment>
    <comment ref="C71" authorId="32" shapeId="0" xr:uid="{A39993CB-A467-491B-AE2D-43BB36E38918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0.77M AA in outlet with mixture density 1.05 kg/L as stated in SI</t>
      </text>
    </comment>
    <comment ref="C81" authorId="33" shapeId="0" xr:uid="{216E3B65-9DD2-4DCE-A640-F0A34F93EE07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50 mL/h DI water inlet flow</t>
      </text>
    </comment>
    <comment ref="M86" authorId="34" shapeId="0" xr:uid="{44DA865A-7F4D-460E-9AB2-6D1397788888}">
      <text>
        <t>[Threaded comment]
Your version of Excel allows you to read this threaded comment; however, any edits to it will get removed if the file is opened in a newer version of Excel. Learn more: https://go.microsoft.com/fwlink/?linkid=870924
Comment:
    Pure acetate, not acetic acid</t>
      </text>
    </comment>
    <comment ref="M91" authorId="35" shapeId="0" xr:uid="{DE3D0371-A13F-49DA-B506-0AE19A037DEC}">
      <text>
        <t>[Threaded comment]
Your version of Excel allows you to read this threaded comment; however, any edits to it will get removed if the file is opened in a newer version of Excel. Learn more: https://go.microsoft.com/fwlink/?linkid=870924
Comment:
    Pure propionate, not propionic acid</t>
      </text>
    </comment>
    <comment ref="C92" authorId="36" shapeId="0" xr:uid="{457864D5-F32C-40AA-A0BE-43E9D9716EFF}">
      <text>
        <t>[Threaded comment]
Your version of Excel allows you to read this threaded comment; however, any edits to it will get removed if the file is opened in a newer version of Excel. Learn more: https://go.microsoft.com/fwlink/?linkid=870924
Comment:
    Stated in main report, that relative purity of AA in center compartment &gt;90wt%, rest is alcohols dragged along by concentration gradient and electroosmotic drag</t>
      </text>
    </comment>
    <comment ref="C98" authorId="37" shapeId="0" xr:uid="{BAFF101E-EBEA-4B59-A1C8-F0C3AA21D1F7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4 mL/min DI water anolyte inlet flow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tc={4FEC9CB8-B2BD-4AA9-8571-8592A1A01036}</author>
    <author>tc={5ECB1F1F-93C6-43EE-B5CE-5C938FDB2B56}</author>
    <author>tc={C92256AA-BAD7-418A-A9C8-0A55C8AB1656}</author>
    <author>tc={517172E5-9A41-4132-9A7B-C0BA9A372EB0}</author>
    <author>tc={1945251C-3FF8-4AF8-B93F-06FFDDF0C4EC}</author>
    <author>tc={FA5641BE-58BE-4979-9DED-DD5A4FB67B02}</author>
    <author>tc={C99FC98E-984E-4DFC-A47B-9B925BBA75F6}</author>
    <author>tc={12185935-FDB6-45D6-A829-D6BB3C14D6B4}</author>
    <author>tc={0831E340-FAC4-4C97-8972-B3D014700C80}</author>
    <author>tc={A3CAA64F-6725-44DB-B16D-BBE36E38D7DF}</author>
  </authors>
  <commentList>
    <comment ref="C5" authorId="0" shapeId="0" xr:uid="{4FEC9CB8-B2BD-4AA9-8571-8592A1A01036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SI: CO consumption of 93255.6 kg/day at current 16241553 A</t>
      </text>
    </comment>
    <comment ref="E44" authorId="1" shapeId="0" xr:uid="{5ECB1F1F-93C6-43EE-B5CE-5C938FDB2B56}">
      <text>
        <t>[Threaded comment]
Your version of Excel allows you to read this threaded comment; however, any edits to it will get removed if the file is opened in a newer version of Excel. Learn more: https://go.microsoft.com/fwlink/?linkid=870924
Comment:
    Propionate</t>
      </text>
    </comment>
    <comment ref="C46" authorId="2" shapeId="0" xr:uid="{C92256AA-BAD7-418A-A9C8-0A55C8AB1656}">
      <text>
        <t>[Threaded comment]
Your version of Excel allows you to read this threaded comment; however, any edits to it will get removed if the file is opened in a newer version of Excel. Learn more: https://go.microsoft.com/fwlink/?linkid=870924
Comment:
    Might be wrong</t>
      </text>
    </comment>
    <comment ref="E60" authorId="3" shapeId="0" xr:uid="{517172E5-9A41-4132-9A7B-C0BA9A372EB0}">
      <text>
        <t>[Threaded comment]
Your version of Excel allows you to read this threaded comment; however, any edits to it will get removed if the file is opened in a newer version of Excel. Learn more: https://go.microsoft.com/fwlink/?linkid=870924
Comment:
    Propionate</t>
      </text>
    </comment>
    <comment ref="E67" authorId="4" shapeId="0" xr:uid="{1945251C-3FF8-4AF8-B93F-06FFDDF0C4EC}">
      <text>
        <t>[Threaded comment]
Your version of Excel allows you to read this threaded comment; however, any edits to it will get removed if the file is opened in a newer version of Excel. Learn more: https://go.microsoft.com/fwlink/?linkid=870924
Comment:
    K+ inlet flow</t>
      </text>
    </comment>
    <comment ref="E74" authorId="5" shapeId="0" xr:uid="{FA5641BE-58BE-4979-9DED-DD5A4FB67B02}">
      <text>
        <t>[Threaded comment]
Your version of Excel allows you to read this threaded comment; however, any edits to it will get removed if the file is opened in a newer version of Excel. Learn more: https://go.microsoft.com/fwlink/?linkid=870924
Comment:
    Liquid anodic outlet (without oxygen) [kg/s]</t>
      </text>
    </comment>
    <comment ref="E95" authorId="6" shapeId="0" xr:uid="{C99FC98E-984E-4DFC-A47B-9B925BBA75F6}">
      <text>
        <t>[Threaded comment]
Your version of Excel allows you to read this threaded comment; however, any edits to it will get removed if the file is opened in a newer version of Excel. Learn more: https://go.microsoft.com/fwlink/?linkid=870924
Comment:
    Meaning solution is semi-concentrated (being &lt; 6 molal) according to Prausnitz1998 p. 565, thus most models are expected to be reasonably succesful</t>
      </text>
    </comment>
    <comment ref="E98" authorId="7" shapeId="0" xr:uid="{12185935-FDB6-45D6-A829-D6BB3C14D6B4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SI Table 8 with 2M AA flow and „scale-up factor“ 2.988 (SI production capacity of AA: 50 t/d, my production capacity 150 t/d)</t>
      </text>
    </comment>
    <comment ref="E118" authorId="8" shapeId="0" xr:uid="{0831E340-FAC4-4C97-8972-B3D014700C80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energy demand of 2500 kWh/ton or produced NaOH</t>
      </text>
    </comment>
    <comment ref="E119" authorId="9" shapeId="0" xr:uid="{A3CAA64F-6725-44DB-B16D-BBE36E38D7DF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Assuming same energy consumption for KOH production as for NaOH production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tc={6E0A44B7-E037-48DE-BE2A-6CA5B3642C18}</author>
    <author>tc={0C4CA969-0CCD-416F-99DA-1248FFCE1B7A}</author>
  </authors>
  <commentList>
    <comment ref="K19" authorId="0" shapeId="0" xr:uid="{6E0A44B7-E037-48DE-BE2A-6CA5B3642C18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shell masses based on Towler2021 equation 14.32 with density 7900 for CS and 8000 for SS</t>
      </text>
    </comment>
    <comment ref="F41" authorId="1" shapeId="0" xr:uid="{0C4CA969-0CCD-416F-99DA-1248FFCE1B7A}">
      <text>
        <t>[Threaded comment]
Your version of Excel allows you to read this threaded comment; however, any edits to it will get removed if the file is opened in a newer version of Excel. Learn more: https://go.microsoft.com/fwlink/?linkid=870924
Comment:
    Having HP-steam at 251 °C with last effect leaving at 105 °C, using BPR of 32 K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tc={BEC6482D-F0B8-4DB6-ADC0-C768C1CB971A}</author>
    <author>tc={F252FBD3-0171-431D-B421-9FACB2272501}</author>
    <author>tc={86CC9074-CABF-4B91-9727-53381A3FE9D8}</author>
    <author>tc={FB164E3D-46A8-49E4-B4CE-E593BB457A2C}</author>
    <author>tc={664CC3C5-F26A-43DC-B51D-4D6F356C4534}</author>
    <author>tc={839837CE-EFF6-4D99-A8C9-688314788C97}</author>
    <author>tc={D1B4A3C6-AAF0-409A-81A7-5EF31CFE1A65}</author>
  </authors>
  <commentList>
    <comment ref="C4" authorId="0" shapeId="0" xr:uid="{BEC6482D-F0B8-4DB6-ADC0-C768C1CB971A}">
      <text>
        <t>[Threaded comment]
Your version of Excel allows you to read this threaded comment; however, any edits to it will get removed if the file is opened in a newer version of Excel. Learn more: https://go.microsoft.com/fwlink/?linkid=870924
Comment:
    w/o gas separation</t>
      </text>
    </comment>
    <comment ref="B7" authorId="1" shapeId="0" xr:uid="{F252FBD3-0171-431D-B421-9FACB2272501}">
      <text>
        <t>[Threaded comment]
Your version of Excel allows you to read this threaded comment; however, any edits to it will get removed if the file is opened in a newer version of Excel. Learn more: https://go.microsoft.com/fwlink/?linkid=870924
Comment:
    Same as Fixed Captial Investment</t>
      </text>
    </comment>
    <comment ref="B8" authorId="2" shapeId="0" xr:uid="{86CC9074-CABF-4B91-9727-53381A3FE9D8}">
      <text>
        <t>[Threaded comment]
Your version of Excel allows you to read this threaded comment; however, any edits to it will get removed if the file is opened in a newer version of Excel. Learn more: https://go.microsoft.com/fwlink/?linkid=870924
Comment:
    Same as Fixed Captial Investment</t>
      </text>
    </comment>
    <comment ref="D14" authorId="3" shapeId="0" xr:uid="{FB164E3D-46A8-49E4-B4CE-E593BB457A2C}">
      <text>
        <t>[Threaded comment]
Your version of Excel allows you to read this threaded comment; however, any edits to it will get removed if the file is opened in a newer version of Excel. Learn more: https://go.microsoft.com/fwlink/?linkid=870924
Comment:
    Fixed error where fraction was the wrong way around</t>
      </text>
    </comment>
    <comment ref="F14" authorId="4" shapeId="0" xr:uid="{664CC3C5-F26A-43DC-B51D-4D6F356C4534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0.6 thumb rule with total gas feed flow rates, using the cost for ethylene and hydrogen recovery</t>
      </text>
    </comment>
    <comment ref="G20" authorId="5" shapeId="0" xr:uid="{839837CE-EFF6-4D99-A8C9-688314788C97}">
      <text>
        <t>[Threaded comment]
Your version of Excel allows you to read this threaded comment; however, any edits to it will get removed if the file is opened in a newer version of Excel. Learn more: https://go.microsoft.com/fwlink/?linkid=870924
Comment:
    Using linear scaling of OPEX based on gas feed flow rates</t>
      </text>
    </comment>
    <comment ref="I49" authorId="6" shapeId="0" xr:uid="{D1B4A3C6-AAF0-409A-81A7-5EF31CFE1A65}">
      <text>
        <t>[Threaded comment]
Your version of Excel allows you to read this threaded comment; however, any edits to it will get removed if the file is opened in a newer version of Excel. Learn more: https://go.microsoft.com/fwlink/?linkid=870924
Comment:
     (https://businessanalytiq.com/index/) for western Europe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tc={EBC1FE4F-11AF-4C89-A2B7-C8BF29172FB3}</author>
    <author>tc={4FACA161-1E26-48E3-BF52-FBFC62F43946}</author>
  </authors>
  <commentList>
    <comment ref="D17" authorId="0" shapeId="0" xr:uid="{EBC1FE4F-11AF-4C89-A2B7-C8BF29172FB3}">
      <text>
        <t>[Threaded comment]
Your version of Excel allows you to read this threaded comment; however, any edits to it will get removed if the file is opened in a newer version of Excel. Learn more: https://go.microsoft.com/fwlink/?linkid=870924
Comment:
    Membrane costs slightly more optimistic than Ramdin2019</t>
      </text>
    </comment>
    <comment ref="D20" authorId="1" shapeId="0" xr:uid="{4FACA161-1E26-48E3-BF52-FBFC62F43946}">
      <text>
        <t>[Threaded comment]
Your version of Excel allows you to read this threaded comment; however, any edits to it will get removed if the file is opened in a newer version of Excel. Learn more: https://go.microsoft.com/fwlink/?linkid=870924
Comment:
    Optimistic value from Ramdin2019, but pessimistic from Sabatino2022 (there most often &gt;200 mA/cm^2)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tc={5F80091B-65B9-41E7-9EE8-FD7E2C5A46CE}</author>
    <author>tc={93DA2368-6A76-48D9-A99B-A061E5A61D46}</author>
  </authors>
  <commentList>
    <comment ref="C5" authorId="0" shapeId="0" xr:uid="{5F80091B-65B9-41E7-9EE8-FD7E2C5A46CE}">
      <text>
        <t>[Threaded comment]
Your version of Excel allows you to read this threaded comment; however, any edits to it will get removed if the file is opened in a newer version of Excel. Learn more: https://go.microsoft.com/fwlink/?linkid=870924
Comment:
    Excluding MVR-COMP, ST-EV-CO, HP-COMPR</t>
      </text>
    </comment>
    <comment ref="C12" authorId="1" shapeId="0" xr:uid="{93DA2368-6A76-48D9-A99B-A061E5A61D46}">
      <text>
        <t>[Threaded comment]
Your version of Excel allows you to read this threaded comment; however, any edits to it will get removed if the file is opened in a newer version of Excel. Learn more: https://go.microsoft.com/fwlink/?linkid=870924
Comment:
    Excluding MVR-COMP, ST-EV-CO, HP-COMPR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<sst xmlns="http://schemas.openxmlformats.org/spreadsheetml/2006/main" count="1973" uniqueCount="920">
  <si>
    <t>Constants</t>
  </si>
  <si>
    <t>Faraday constant</t>
  </si>
  <si>
    <t>C/mol</t>
  </si>
  <si>
    <t>Avogadro constant</t>
  </si>
  <si>
    <t>1/mol</t>
  </si>
  <si>
    <t>Elementary charge</t>
  </si>
  <si>
    <t>C</t>
  </si>
  <si>
    <t>Assumptions</t>
  </si>
  <si>
    <t>Variable</t>
  </si>
  <si>
    <t>Value</t>
  </si>
  <si>
    <t>Unit</t>
  </si>
  <si>
    <t>Source</t>
  </si>
  <si>
    <t>Notes</t>
  </si>
  <si>
    <t>Least favorable</t>
  </si>
  <si>
    <t>Anode reaction</t>
  </si>
  <si>
    <t>OER</t>
  </si>
  <si>
    <t>/</t>
  </si>
  <si>
    <t>General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</si>
  <si>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consumption</t>
    </r>
  </si>
  <si>
    <t>kt/y</t>
  </si>
  <si>
    <t>Anode potential</t>
  </si>
  <si>
    <t>V vs RHE</t>
  </si>
  <si>
    <t>Operating time</t>
  </si>
  <si>
    <t>h/y</t>
  </si>
  <si>
    <t>Cathodic pH</t>
  </si>
  <si>
    <t>pH</t>
  </si>
  <si>
    <t>Plant lifetime</t>
  </si>
  <si>
    <t>y</t>
  </si>
  <si>
    <t>Assumed cell-voltage if n.a.</t>
  </si>
  <si>
    <t>V</t>
  </si>
  <si>
    <t>Interest rate</t>
  </si>
  <si>
    <t>%</t>
  </si>
  <si>
    <t>https://www.government.nl/topics/taxation-and-businesses/corporation-tax</t>
  </si>
  <si>
    <t>Dutch corporate income tax</t>
  </si>
  <si>
    <t>Exchange rate</t>
  </si>
  <si>
    <t>$/EUR</t>
  </si>
  <si>
    <t>CEPCI (January 2025)</t>
  </si>
  <si>
    <t>Kenez2025</t>
  </si>
  <si>
    <t>SOEC</t>
  </si>
  <si>
    <t>Voltage</t>
  </si>
  <si>
    <t>Current density</t>
  </si>
  <si>
    <r>
      <t>mA/cm</t>
    </r>
    <r>
      <rPr>
        <vertAlign val="superscript"/>
        <sz val="11"/>
        <color theme="1"/>
        <rFont val="Calibri"/>
        <family val="2"/>
        <scheme val="minor"/>
      </rPr>
      <t>2</t>
    </r>
  </si>
  <si>
    <t>FE</t>
  </si>
  <si>
    <t>EE</t>
  </si>
  <si>
    <t>Power consumption [Haldor Topsoe]</t>
  </si>
  <si>
    <t>MJ/kg</t>
  </si>
  <si>
    <t>Power consumption [calculation]</t>
  </si>
  <si>
    <t>CAPEX base value</t>
  </si>
  <si>
    <t>OPEX base value</t>
  </si>
  <si>
    <t>% of electricity costs</t>
  </si>
  <si>
    <t>OPEX</t>
  </si>
  <si>
    <t>Electricity price</t>
  </si>
  <si>
    <r>
      <t>$/kWh</t>
    </r>
    <r>
      <rPr>
        <vertAlign val="subscript"/>
        <sz val="11"/>
        <color theme="1"/>
        <rFont val="Calibri"/>
        <family val="2"/>
        <scheme val="minor"/>
      </rPr>
      <t>el</t>
    </r>
    <r>
      <rPr>
        <sz val="11"/>
        <color theme="1"/>
        <rFont val="Calibri"/>
        <family val="2"/>
        <scheme val="minor"/>
      </rPr>
      <t xml:space="preserve"> </t>
    </r>
  </si>
  <si>
    <t>DalMas2026</t>
  </si>
  <si>
    <t>Electrolyzer maintenance</t>
  </si>
  <si>
    <t>% capital per year</t>
  </si>
  <si>
    <t>Jouny2018</t>
  </si>
  <si>
    <t>CAPEX</t>
  </si>
  <si>
    <t>Electrolyzer cost</t>
  </si>
  <si>
    <r>
      <t>$/m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</si>
  <si>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r>
      <t>Or 919.7 $/m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from DOE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</t>
    </r>
  </si>
  <si>
    <t>Chemicals</t>
  </si>
  <si>
    <r>
      <t>eCO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RR</t>
    </r>
  </si>
  <si>
    <t>eCORR</t>
  </si>
  <si>
    <t>Price</t>
  </si>
  <si>
    <t>MW</t>
  </si>
  <si>
    <r>
      <t># of e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required</t>
    </r>
  </si>
  <si>
    <r>
      <t>E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cat,acid base</t>
    </r>
  </si>
  <si>
    <r>
      <t>E</t>
    </r>
    <r>
      <rPr>
        <vertAlign val="superscript"/>
        <sz val="11"/>
        <color theme="1"/>
        <rFont val="Calibri"/>
        <family val="2"/>
        <scheme val="minor"/>
      </rPr>
      <t>0</t>
    </r>
    <r>
      <rPr>
        <vertAlign val="subscript"/>
        <sz val="11"/>
        <color theme="1"/>
        <rFont val="Calibri"/>
        <family val="2"/>
        <scheme val="minor"/>
      </rPr>
      <t>cat</t>
    </r>
  </si>
  <si>
    <t>$/kg</t>
  </si>
  <si>
    <t>kg/mol</t>
  </si>
  <si>
    <t>CO</t>
  </si>
  <si>
    <t>FA/Formate</t>
  </si>
  <si>
    <t>MeOH</t>
  </si>
  <si>
    <t>Methane</t>
  </si>
  <si>
    <t>AA/Acetate</t>
  </si>
  <si>
    <t>Ethylene</t>
  </si>
  <si>
    <t>EtOH</t>
  </si>
  <si>
    <t>Ethane</t>
  </si>
  <si>
    <t>Acetaldehyde</t>
  </si>
  <si>
    <t>n-PrOH</t>
  </si>
  <si>
    <t>Hydrogen</t>
  </si>
  <si>
    <t>Oxygen</t>
  </si>
  <si>
    <t>DI-Water</t>
  </si>
  <si>
    <t>Carbon dioxide</t>
  </si>
  <si>
    <t>Potassium</t>
  </si>
  <si>
    <t>Potassium Hydroxide</t>
  </si>
  <si>
    <t>Propanoic acid</t>
  </si>
  <si>
    <t>Potassium chloride</t>
  </si>
  <si>
    <t>Sodium chloride</t>
  </si>
  <si>
    <t>Hydrogen chloride</t>
  </si>
  <si>
    <t>Literature comparison</t>
  </si>
  <si>
    <t>Paper</t>
  </si>
  <si>
    <t>Zheng2022</t>
  </si>
  <si>
    <t>Wang2020</t>
  </si>
  <si>
    <t>Liu2025</t>
  </si>
  <si>
    <t>Papangelakis2025</t>
  </si>
  <si>
    <t>Wu2023</t>
  </si>
  <si>
    <t>Wang2023b</t>
  </si>
  <si>
    <t>Wei2023</t>
  </si>
  <si>
    <t>Zhou2024</t>
  </si>
  <si>
    <t>Overa2022</t>
  </si>
  <si>
    <t>Cell configuration</t>
  </si>
  <si>
    <t>SSE three-compartment</t>
  </si>
  <si>
    <t>MEA</t>
  </si>
  <si>
    <t>Flow cell</t>
  </si>
  <si>
    <t>MEA-AEM</t>
  </si>
  <si>
    <t>Semi-batch-MEA-AEM</t>
  </si>
  <si>
    <t>Catholyte</t>
  </si>
  <si>
    <t>Humidified CO</t>
  </si>
  <si>
    <t>0.25 M KHCO3</t>
  </si>
  <si>
    <t>3 M KCl</t>
  </si>
  <si>
    <t>Humidified CO2</t>
  </si>
  <si>
    <t>6 bar dry CO</t>
  </si>
  <si>
    <t>Anolyte</t>
  </si>
  <si>
    <t>DI-water</t>
  </si>
  <si>
    <t>1M KOH</t>
  </si>
  <si>
    <t>3 M KOH</t>
  </si>
  <si>
    <t>1 M KOH</t>
  </si>
  <si>
    <t>3M KOH</t>
  </si>
  <si>
    <t>Center medium</t>
  </si>
  <si>
    <t>Electrode potential</t>
  </si>
  <si>
    <t>Cell voltage</t>
  </si>
  <si>
    <t>Area of electrolyzer</t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</si>
  <si>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</si>
  <si>
    <t>SPC</t>
  </si>
  <si>
    <t>EE (towards all products combined)</t>
  </si>
  <si>
    <t>Temperature</t>
  </si>
  <si>
    <t>°C</t>
  </si>
  <si>
    <t>Stated:
- SI: flow rates of cathodic gas outlet specified --&gt; taking relative values and calculating cathodic outlet wt% from that
Assuming that: 
- cathodic gaseous products stay in catholyte outlet
- all liquid products (EtOH,AA,n-PrOH) transfer to center compartment (and dont further crossover into anolyte)
- no water crossover between compartments at all
- amount of water in catholyte gas inlet negligible compared to water flow from center compartment across AEM into cathode compartment</t>
  </si>
  <si>
    <t>SI: seems like outlet ethanol concentration is 1M, but measured after cirtculating the electrolyte for 20 h through cell, not after single-pass; liquid flow rate at 1.94 m3/h, not nearly enough to make sense with EtOH prudction capacity of 50 t/d</t>
  </si>
  <si>
    <t>Extended Data Fig 1 shows that all liquid products nearly fully migrate across AEM into anolyte stream</t>
  </si>
  <si>
    <t>Stated:
- All electrolyzer metrics (CD, voltage, FE) from SI Table 6: Optimized MEA
- SI Table 6: Cathodic ratio of alcohols: 63 % of produced EtOH and 41 % of produced n-PrOH stay in catholyte stream, remainder crosses over to anolyte, 100% of acetate crosses over and forms potassium acetate
- Catholyte outlet stream after condensation of liquids: liquid composition is 14.6 wt% EtOH, 4.2 wt% n-PrOH, remainder water
Assumption:
- no further crossover of any species, except water according to concentrations explicitly stated</t>
  </si>
  <si>
    <t>Faradaic efficiencies</t>
  </si>
  <si>
    <t xml:space="preserve">Total </t>
  </si>
  <si>
    <t>Cathodic stream</t>
  </si>
  <si>
    <t>wt%</t>
  </si>
  <si>
    <t>Total mass flow IN</t>
  </si>
  <si>
    <t>kg/s</t>
  </si>
  <si>
    <t>Total mass flow OUT</t>
  </si>
  <si>
    <t>Anodic stream</t>
  </si>
  <si>
    <t>Propionate</t>
  </si>
  <si>
    <t>Centre compartment stream</t>
  </si>
  <si>
    <t>Helper cells</t>
  </si>
  <si>
    <t>Cathode Production rates</t>
  </si>
  <si>
    <t>ProdRate based on CO conversion and selectivity</t>
  </si>
  <si>
    <t>Centre compartment</t>
  </si>
  <si>
    <t>mol% w/o water</t>
  </si>
  <si>
    <t>wt% w/o water</t>
  </si>
  <si>
    <t>Anode production rates</t>
  </si>
  <si>
    <t>Based on current and FE</t>
  </si>
  <si>
    <t>Scenario</t>
  </si>
  <si>
    <t>Main Electrolyzer</t>
  </si>
  <si>
    <t>Configuration</t>
  </si>
  <si>
    <t>Three-compartment SSE</t>
  </si>
  <si>
    <t>Current</t>
  </si>
  <si>
    <t>A</t>
  </si>
  <si>
    <t>Electrolyzer Area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</si>
  <si>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</si>
  <si>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Power consumption</t>
  </si>
  <si>
    <t>Waste heat</t>
  </si>
  <si>
    <t>Scale-up factor</t>
  </si>
  <si>
    <t xml:space="preserve">CAPEX </t>
  </si>
  <si>
    <t>$</t>
  </si>
  <si>
    <t xml:space="preserve">Electricity costs </t>
  </si>
  <si>
    <t>$/y</t>
  </si>
  <si>
    <t>Consumptions</t>
  </si>
  <si>
    <t>in kg/h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</si>
  <si>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</si>
  <si>
    <t xml:space="preserve">CO </t>
  </si>
  <si>
    <t>Electrolyzer TOTAL Streams</t>
  </si>
  <si>
    <t>in kg/s</t>
  </si>
  <si>
    <t>Cathodic IN</t>
  </si>
  <si>
    <t>Anodic IN</t>
  </si>
  <si>
    <t>Centre compartment IN</t>
  </si>
  <si>
    <t>Cathodic OUT</t>
  </si>
  <si>
    <t>Anodic OUT</t>
  </si>
  <si>
    <t>Centre compartment OUT</t>
  </si>
  <si>
    <t>Product streams</t>
  </si>
  <si>
    <t>mol/s</t>
  </si>
  <si>
    <t>Weight concentrations</t>
  </si>
  <si>
    <t>Inlet flow KOH anolyte</t>
  </si>
  <si>
    <t>Anolyte outlet flow</t>
  </si>
  <si>
    <r>
      <t>CH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COOK</t>
    </r>
  </si>
  <si>
    <r>
      <t>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COOK</t>
    </r>
  </si>
  <si>
    <t>Free KOH anolyte outlet</t>
  </si>
  <si>
    <t>Free water anolyte outlet</t>
  </si>
  <si>
    <t>Total liquid anolyte outlet</t>
  </si>
  <si>
    <t>Conversion CO stream</t>
  </si>
  <si>
    <t>Required HCl for full protonation (free KOH + both products)</t>
  </si>
  <si>
    <t>Mixer outlet flows with excess KOH still present at inlet</t>
  </si>
  <si>
    <t>Mol %</t>
  </si>
  <si>
    <t>Mol% (w/o KCl)</t>
  </si>
  <si>
    <t>Mol% (w/o KCl, PA)</t>
  </si>
  <si>
    <t>AA</t>
  </si>
  <si>
    <t>PA</t>
  </si>
  <si>
    <t>KCl</t>
  </si>
  <si>
    <t>Water</t>
  </si>
  <si>
    <t>Total</t>
  </si>
  <si>
    <t>Extractor</t>
  </si>
  <si>
    <t>EA inlet flow</t>
  </si>
  <si>
    <t>kg/h</t>
  </si>
  <si>
    <t>Specific energy demand of Chloralkali process</t>
  </si>
  <si>
    <t>kWh/mol NaOH produced</t>
  </si>
  <si>
    <t>Energy demand KCl electrolysis</t>
  </si>
  <si>
    <t xml:space="preserve">Stated:
- SI Figure 1: maximum acetate concentration was 1.93 M at 96 mol% purity and avg carbon selectivity 73%, simultaneosuly avg ethylene carbon selectivity 22%, avg propinate carbon selectivity 5%
- </t>
  </si>
  <si>
    <t>Molality of KCl</t>
  </si>
  <si>
    <r>
      <t>mol</t>
    </r>
    <r>
      <rPr>
        <vertAlign val="subscript"/>
        <sz val="11"/>
        <color theme="1"/>
        <rFont val="Calibri"/>
        <family val="2"/>
        <scheme val="minor"/>
      </rPr>
      <t>KCl</t>
    </r>
    <r>
      <rPr>
        <sz val="11"/>
        <color theme="1"/>
        <rFont val="Calibri"/>
        <family val="2"/>
        <scheme val="minor"/>
      </rPr>
      <t>/kg</t>
    </r>
    <r>
      <rPr>
        <vertAlign val="subscript"/>
        <sz val="11"/>
        <color theme="1"/>
        <rFont val="Calibri"/>
        <family val="2"/>
        <scheme val="minor"/>
      </rPr>
      <t>solvent</t>
    </r>
  </si>
  <si>
    <t>Bipolar membrane electrodialysis</t>
  </si>
  <si>
    <t>Applied to Overa2022</t>
  </si>
  <si>
    <t>Electrolyzer outlet stream</t>
  </si>
  <si>
    <t>Ion-exchange membrane costs</t>
  </si>
  <si>
    <r>
      <t>$/m</t>
    </r>
    <r>
      <rPr>
        <vertAlign val="superscript"/>
        <sz val="11"/>
        <color theme="1"/>
        <rFont val="Calibri"/>
        <family val="2"/>
        <scheme val="minor"/>
      </rPr>
      <t>2</t>
    </r>
  </si>
  <si>
    <t>Sabatino2022</t>
  </si>
  <si>
    <t>Bipolar membrane cost</t>
  </si>
  <si>
    <t>years</t>
  </si>
  <si>
    <t>Membrane lifetime</t>
  </si>
  <si>
    <t>Sabatino2022, Ramdin2019</t>
  </si>
  <si>
    <t>Ramdin2019, Sabatino2022</t>
  </si>
  <si>
    <t>Neglecting Propionate and excess KOH</t>
  </si>
  <si>
    <t>Further:</t>
  </si>
  <si>
    <t>Using membrane area equation from Ramdin2019</t>
  </si>
  <si>
    <t>Calculations</t>
  </si>
  <si>
    <t>Liquid volume flow rate</t>
  </si>
  <si>
    <t>L/s</t>
  </si>
  <si>
    <t>Mass fraction potassium acetate</t>
  </si>
  <si>
    <t>Mole fraction potassium acetate</t>
  </si>
  <si>
    <t>mol%</t>
  </si>
  <si>
    <t>Potassium acetate</t>
  </si>
  <si>
    <t>Potassium propionate</t>
  </si>
  <si>
    <t>kg/L</t>
  </si>
  <si>
    <t>Density @25 °C</t>
  </si>
  <si>
    <t>mol/L</t>
  </si>
  <si>
    <t>Concentration feed</t>
  </si>
  <si>
    <t>Concentration diluate</t>
  </si>
  <si>
    <t>Faradaic efficiency</t>
  </si>
  <si>
    <t>Cell potential</t>
  </si>
  <si>
    <t>Ramdin2019</t>
  </si>
  <si>
    <t>Layout</t>
  </si>
  <si>
    <t>Three-compartment electrodialysis with bipolar membrane</t>
  </si>
  <si>
    <r>
      <t>MW</t>
    </r>
    <r>
      <rPr>
        <vertAlign val="subscript"/>
        <sz val="11"/>
        <color theme="1"/>
        <rFont val="Calibri"/>
        <family val="2"/>
        <scheme val="minor"/>
      </rPr>
      <t>elec</t>
    </r>
  </si>
  <si>
    <t>Specific energy consumption</t>
  </si>
  <si>
    <r>
      <t>kWh/kg</t>
    </r>
    <r>
      <rPr>
        <vertAlign val="subscript"/>
        <sz val="11"/>
        <color theme="1"/>
        <rFont val="Calibri"/>
        <family val="2"/>
        <scheme val="minor"/>
      </rPr>
      <t>AA</t>
    </r>
  </si>
  <si>
    <t>Stack cost factor</t>
  </si>
  <si>
    <t>* Membrane cost</t>
  </si>
  <si>
    <t>Peripheral equipment cost factor</t>
  </si>
  <si>
    <t>* Stack cost</t>
  </si>
  <si>
    <t>Membrane cost</t>
  </si>
  <si>
    <t>Stack cost</t>
  </si>
  <si>
    <t xml:space="preserve">Peripheral equipment cost </t>
  </si>
  <si>
    <t>Peripheral equipment electricity consumption factor</t>
  </si>
  <si>
    <t>* electricity consumption of stack</t>
  </si>
  <si>
    <t>Energy cost stack</t>
  </si>
  <si>
    <t>$/year</t>
  </si>
  <si>
    <t>Peripheral equipment electricity cost</t>
  </si>
  <si>
    <t>Total electricity cost</t>
  </si>
  <si>
    <t>Diluate stream free of acetate</t>
  </si>
  <si>
    <t>Mass flow rate</t>
  </si>
  <si>
    <t>Fumatech website (see Vojtech e-mail)</t>
  </si>
  <si>
    <t>Assume membranes can handle process conditions and are selective for separation of potassium acetate</t>
  </si>
  <si>
    <t>Aspen NIST TDE: Taha, M.; Lee, M. J. J. Chem. Thermodyn., 2009, 41, 705-715 Interaction of biological buffers with electrolytes: Densities of aqueous solutions of two substituted aminosulfonic acids and ionic salts from T = (298.15 to 328.15) K</t>
  </si>
  <si>
    <t>Ramdin2019, Parnamae2021, Vojtech</t>
  </si>
  <si>
    <t>Vojtech</t>
  </si>
  <si>
    <t>Assumed number of liquid compartments per stack</t>
  </si>
  <si>
    <t>Required electrolyzer area</t>
  </si>
  <si>
    <t>Required number of stacks</t>
  </si>
  <si>
    <t>Assumed stack area</t>
  </si>
  <si>
    <t>Hauch2020</t>
  </si>
  <si>
    <t>Küngas2020</t>
  </si>
  <si>
    <t>Total (electricity+membrane replacement)</t>
  </si>
  <si>
    <t>Mixer outlet flows with simplifications</t>
  </si>
  <si>
    <t>Propionate production neglected and instead only production of acetate, ethylene and hydrogen</t>
  </si>
  <si>
    <t>No excess KOH --&gt; KOH concentration matches acetate concentration</t>
  </si>
  <si>
    <t>Required HCl</t>
  </si>
  <si>
    <t>KCl electrolysis</t>
  </si>
  <si>
    <t>Additional water</t>
  </si>
  <si>
    <t>Anolyte outlet flow after simplifications</t>
  </si>
  <si>
    <t>Required 33 wt% HCl solution</t>
  </si>
  <si>
    <t>Molarity 33 wt% HCl</t>
  </si>
  <si>
    <t xml:space="preserve">M </t>
  </si>
  <si>
    <t>Density 33 wt% HCl</t>
  </si>
  <si>
    <t>kg/m^3</t>
  </si>
  <si>
    <t>https://www.intratec.us/solutions/primary-commodity-prices/commodity/hydrochloric-acid-prices</t>
  </si>
  <si>
    <t>Operating parameters</t>
  </si>
  <si>
    <t>Schmittinger2011</t>
  </si>
  <si>
    <t>OBrien2004</t>
  </si>
  <si>
    <t>Operating temperature</t>
  </si>
  <si>
    <t xml:space="preserve">°C </t>
  </si>
  <si>
    <t>Feed brine concentration</t>
  </si>
  <si>
    <t>g/L</t>
  </si>
  <si>
    <t>Depleted brine concentration</t>
  </si>
  <si>
    <t>OBrien2004 with normally NaCl at 3.2 V, but KCl electrolysis reported at average 0.2 V less</t>
  </si>
  <si>
    <t>Water transport coefficient</t>
  </si>
  <si>
    <r>
      <t>mol</t>
    </r>
    <r>
      <rPr>
        <vertAlign val="subscript"/>
        <sz val="11"/>
        <color theme="1"/>
        <rFont val="Calibri"/>
        <family val="2"/>
        <scheme val="minor"/>
      </rPr>
      <t>water</t>
    </r>
    <r>
      <rPr>
        <sz val="11"/>
        <color theme="1"/>
        <rFont val="Calibri"/>
        <family val="2"/>
        <scheme val="minor"/>
      </rPr>
      <t>/mol</t>
    </r>
    <r>
      <rPr>
        <vertAlign val="subscript"/>
        <sz val="11"/>
        <color theme="1"/>
        <rFont val="Calibri"/>
        <family val="2"/>
        <scheme val="minor"/>
      </rPr>
      <t>K+</t>
    </r>
  </si>
  <si>
    <t>A/m2</t>
  </si>
  <si>
    <t>KOH</t>
  </si>
  <si>
    <t>Concentration of cell product KOH</t>
  </si>
  <si>
    <t>Concentration of cell feed KOH</t>
  </si>
  <si>
    <t>Thermoneutral voltage</t>
  </si>
  <si>
    <r>
      <t>kWh</t>
    </r>
    <r>
      <rPr>
        <vertAlign val="subscript"/>
        <sz val="11"/>
        <color theme="1"/>
        <rFont val="Calibri"/>
        <family val="2"/>
        <scheme val="minor"/>
      </rPr>
      <t>elec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100% KOH</t>
    </r>
  </si>
  <si>
    <r>
      <t>kWh</t>
    </r>
    <r>
      <rPr>
        <vertAlign val="subscript"/>
        <sz val="11"/>
        <color theme="1"/>
        <rFont val="Calibri"/>
        <family val="2"/>
        <scheme val="minor"/>
      </rPr>
      <t>elec</t>
    </r>
    <r>
      <rPr>
        <sz val="11"/>
        <color theme="1"/>
        <rFont val="Calibri"/>
        <family val="2"/>
        <scheme val="minor"/>
      </rPr>
      <t>/mol</t>
    </r>
    <r>
      <rPr>
        <vertAlign val="subscript"/>
        <sz val="11"/>
        <color theme="1"/>
        <rFont val="Calibri"/>
        <family val="2"/>
        <scheme val="minor"/>
      </rPr>
      <t>100% KOH</t>
    </r>
  </si>
  <si>
    <t>Co-products</t>
  </si>
  <si>
    <t>Chlorine</t>
  </si>
  <si>
    <r>
      <t>t</t>
    </r>
    <r>
      <rPr>
        <vertAlign val="subscript"/>
        <sz val="11"/>
        <color theme="1"/>
        <rFont val="Calibri"/>
        <family val="2"/>
        <scheme val="minor"/>
      </rPr>
      <t>Cl2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KOH</t>
    </r>
  </si>
  <si>
    <r>
      <t>t</t>
    </r>
    <r>
      <rPr>
        <vertAlign val="subscript"/>
        <sz val="11"/>
        <color theme="1"/>
        <rFont val="Calibri"/>
        <family val="2"/>
        <scheme val="minor"/>
      </rPr>
      <t>H2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KOH</t>
    </r>
  </si>
  <si>
    <t>kg/m3</t>
  </si>
  <si>
    <t>Density KCl brine @26 wt%, 90°C, 1 atm</t>
  </si>
  <si>
    <t>Density KCl brine @28 wt%, 90°C, 1 atm</t>
  </si>
  <si>
    <t>Mass fraction KCl brine @300 g/L, 90 °C, 1 atm</t>
  </si>
  <si>
    <t>Mass fraction KCl brine @220 g/L, 90 °C, 1 atm</t>
  </si>
  <si>
    <t>Density KCl brine @20 wt%, 90°C, 1 atm</t>
  </si>
  <si>
    <t>Density KCl brine @22 wt%, 90°C, 1 atm</t>
  </si>
  <si>
    <t>Intermediate cell g/L goal</t>
  </si>
  <si>
    <t>Density KCl brine @300 g/L, 90 °C, 1 atm</t>
  </si>
  <si>
    <t>Density KCl brine @220 g/L, 90 °C, 1 atm</t>
  </si>
  <si>
    <t>Brine inlet (anolyte)</t>
  </si>
  <si>
    <t>Brine outlet (anolyte)</t>
  </si>
  <si>
    <t>Catholyte outlet</t>
  </si>
  <si>
    <t>Catholyte inlet</t>
  </si>
  <si>
    <t>Conversion KCl</t>
  </si>
  <si>
    <t>Electrolysis cell mass balance</t>
  </si>
  <si>
    <t>Desired KOH</t>
  </si>
  <si>
    <t>Desired KCl</t>
  </si>
  <si>
    <t>Formation KOH</t>
  </si>
  <si>
    <t>Mass balance check</t>
  </si>
  <si>
    <t>Total IN</t>
  </si>
  <si>
    <t>Total OUT</t>
  </si>
  <si>
    <t>Difference</t>
  </si>
  <si>
    <t>kW</t>
  </si>
  <si>
    <t>Energy efficiency</t>
  </si>
  <si>
    <t>m2</t>
  </si>
  <si>
    <t>Required current</t>
  </si>
  <si>
    <t>Electrolyzer results</t>
  </si>
  <si>
    <t>Economic parameters</t>
  </si>
  <si>
    <t>Electricty for electrolysis</t>
  </si>
  <si>
    <t>Electrolyzer CAPEX</t>
  </si>
  <si>
    <t>$/m2</t>
  </si>
  <si>
    <r>
      <t>$/ton</t>
    </r>
    <r>
      <rPr>
        <vertAlign val="subscript"/>
        <sz val="11"/>
        <color theme="1"/>
        <rFont val="Calibri"/>
        <family val="2"/>
        <scheme val="minor"/>
      </rPr>
      <t>Cl2 capacity per day</t>
    </r>
  </si>
  <si>
    <t>Economic results</t>
  </si>
  <si>
    <t>CEPCI (2019)</t>
  </si>
  <si>
    <t>CAPEX total (chlorine based estiamte), 2025</t>
  </si>
  <si>
    <t>OPEX fraction dependent on electricity</t>
  </si>
  <si>
    <t>Electrolyzer electricity costs</t>
  </si>
  <si>
    <t>CAPEX total process (1998)</t>
  </si>
  <si>
    <t>CEPCI (1998)</t>
  </si>
  <si>
    <t>Total OPEX (electricity based estimate)</t>
  </si>
  <si>
    <t>kmol/h</t>
  </si>
  <si>
    <t>Water crossover</t>
  </si>
  <si>
    <t>kJ/kmol</t>
  </si>
  <si>
    <t>Schmittinger2011 with penalty of 2% for KCl as opposed to 94% from NaCl</t>
  </si>
  <si>
    <t>Specific Production KOH</t>
  </si>
  <si>
    <r>
      <t>t</t>
    </r>
    <r>
      <rPr>
        <vertAlign val="subscript"/>
        <sz val="11"/>
        <color theme="1"/>
        <rFont val="Calibri"/>
        <family val="2"/>
        <scheme val="minor"/>
      </rPr>
      <t>KOH</t>
    </r>
    <r>
      <rPr>
        <sz val="11"/>
        <color theme="1"/>
        <rFont val="Calibri"/>
        <family val="2"/>
        <scheme val="minor"/>
      </rPr>
      <t>/t</t>
    </r>
    <r>
      <rPr>
        <vertAlign val="subscript"/>
        <sz val="11"/>
        <color theme="1"/>
        <rFont val="Calibri"/>
        <family val="2"/>
        <scheme val="minor"/>
      </rPr>
      <t>KCl</t>
    </r>
  </si>
  <si>
    <t>Detz2023</t>
  </si>
  <si>
    <t>SP-Conversion</t>
  </si>
  <si>
    <t>Specific waste heat</t>
  </si>
  <si>
    <r>
      <t>MJ/kmol</t>
    </r>
    <r>
      <rPr>
        <vertAlign val="subscript"/>
        <sz val="11"/>
        <color theme="1"/>
        <rFont val="Calibri"/>
        <family val="2"/>
        <scheme val="minor"/>
      </rPr>
      <t>CO</t>
    </r>
  </si>
  <si>
    <r>
      <t>E</t>
    </r>
    <r>
      <rPr>
        <vertAlign val="superscript"/>
        <sz val="11"/>
        <color theme="1"/>
        <rFont val="Calibri"/>
        <family val="2"/>
        <scheme val="minor"/>
      </rPr>
      <t>0,thermodynamic</t>
    </r>
    <r>
      <rPr>
        <vertAlign val="subscript"/>
        <sz val="11"/>
        <color theme="1"/>
        <rFont val="Calibri"/>
        <family val="2"/>
        <scheme val="minor"/>
      </rPr>
      <t>cell</t>
    </r>
  </si>
  <si>
    <r>
      <t>E</t>
    </r>
    <r>
      <rPr>
        <vertAlign val="superscript"/>
        <sz val="11"/>
        <color theme="1"/>
        <rFont val="Calibri"/>
        <family val="2"/>
        <scheme val="minor"/>
      </rPr>
      <t>0,thermoneutral</t>
    </r>
    <r>
      <rPr>
        <vertAlign val="subscript"/>
        <sz val="11"/>
        <color theme="1"/>
        <rFont val="Calibri"/>
        <family val="2"/>
        <scheme val="minor"/>
      </rPr>
      <t>cell</t>
    </r>
  </si>
  <si>
    <t>Formate</t>
  </si>
  <si>
    <t>FA</t>
  </si>
  <si>
    <t>Acetate</t>
  </si>
  <si>
    <t># of C-atoms in product</t>
  </si>
  <si>
    <t>Cathode IN</t>
  </si>
  <si>
    <t>Cathode OUT</t>
  </si>
  <si>
    <t>Anode IN</t>
  </si>
  <si>
    <t>Anode OUT</t>
  </si>
  <si>
    <t>Atom balance</t>
  </si>
  <si>
    <t>O</t>
  </si>
  <si>
    <t>H</t>
  </si>
  <si>
    <t>K</t>
  </si>
  <si>
    <t>OUT / mol/s</t>
  </si>
  <si>
    <t>IN / mol/s</t>
  </si>
  <si>
    <t>Diff</t>
  </si>
  <si>
    <t>Mass balance MEA after simplifications</t>
  </si>
  <si>
    <t>Anodic liquid outlet after simplifications</t>
  </si>
  <si>
    <t>Mass balance</t>
  </si>
  <si>
    <t>IN / kg/h</t>
  </si>
  <si>
    <t>OUT / kg/h</t>
  </si>
  <si>
    <t>Energy balance</t>
  </si>
  <si>
    <t>RSTOIC</t>
  </si>
  <si>
    <t>Acetic acid</t>
  </si>
  <si>
    <t>Reference component</t>
  </si>
  <si>
    <t>Fractional conversion</t>
  </si>
  <si>
    <t>Molar extent</t>
  </si>
  <si>
    <t>Data for lookup tables and general data</t>
  </si>
  <si>
    <t>Purchased Equipment Cost - Unit costs</t>
  </si>
  <si>
    <t>Installed Equipment Cost</t>
  </si>
  <si>
    <t>Purchased Equipment Cost for Common Plant Equipment</t>
  </si>
  <si>
    <t>Installation Factors</t>
  </si>
  <si>
    <t>Material Cost Factors</t>
  </si>
  <si>
    <t>Towler &amp; Sinnot 2013</t>
  </si>
  <si>
    <t>All costs are U.S. Gulf Coast basis, Jan 2010</t>
  </si>
  <si>
    <t>Table 7.2 (page 322)</t>
  </si>
  <si>
    <t>Table 7.4 (page 329)</t>
  </si>
  <si>
    <t>Table 7.6 (page 332)</t>
  </si>
  <si>
    <t>Process section</t>
  </si>
  <si>
    <t>Type</t>
  </si>
  <si>
    <t>Description</t>
  </si>
  <si>
    <t>Size description</t>
  </si>
  <si>
    <t>Size</t>
  </si>
  <si>
    <t>Is size okay?</t>
  </si>
  <si>
    <t>a</t>
  </si>
  <si>
    <t>b</t>
  </si>
  <si>
    <t>n</t>
  </si>
  <si>
    <t>Purchased Unit Cost ($)</t>
  </si>
  <si>
    <t>Equipment type</t>
  </si>
  <si>
    <t>Material</t>
  </si>
  <si>
    <t>Number of units purchased</t>
  </si>
  <si>
    <t>Number of units installed</t>
  </si>
  <si>
    <t>Purchased Equipment Cost</t>
  </si>
  <si>
    <t>Material factor</t>
  </si>
  <si>
    <t>Installation Factor</t>
  </si>
  <si>
    <t>Installed Equipment Cost ($)</t>
  </si>
  <si>
    <t>Relative to plain Carbon steel</t>
  </si>
  <si>
    <t>Vertical, cs</t>
  </si>
  <si>
    <t>Distillation columns</t>
  </si>
  <si>
    <t>Carbon steel</t>
  </si>
  <si>
    <t>Equipment</t>
  </si>
  <si>
    <t>Units for Size</t>
  </si>
  <si>
    <t>S(lower)</t>
  </si>
  <si>
    <t>S(upper)</t>
  </si>
  <si>
    <t>Equipment Type</t>
  </si>
  <si>
    <t>fm</t>
  </si>
  <si>
    <t>Agitators &amp; mixers</t>
  </si>
  <si>
    <t>Compressors</t>
  </si>
  <si>
    <t>Propeller</t>
  </si>
  <si>
    <t>driver power, kW</t>
  </si>
  <si>
    <t>Aluminium</t>
  </si>
  <si>
    <t>Spiral ribbon mixer</t>
  </si>
  <si>
    <t>Fired heaters</t>
  </si>
  <si>
    <t>Bronze</t>
  </si>
  <si>
    <t>Static mixer</t>
  </si>
  <si>
    <t>liters/s</t>
  </si>
  <si>
    <t>Heat exchangers</t>
  </si>
  <si>
    <t>Cast steel</t>
  </si>
  <si>
    <t>Boilers</t>
  </si>
  <si>
    <t>Instruments</t>
  </si>
  <si>
    <t>304 stainless steel</t>
  </si>
  <si>
    <t>Packaged, 15 to 40 bar</t>
  </si>
  <si>
    <t>kg/h steam</t>
  </si>
  <si>
    <t>Miscellaneous equipment</t>
  </si>
  <si>
    <t>316 stainless steel</t>
  </si>
  <si>
    <t>Field erected, 10 to 70 bar</t>
  </si>
  <si>
    <t>Pressure vessels</t>
  </si>
  <si>
    <t>321 stainless steel</t>
  </si>
  <si>
    <t>Centrifuges</t>
  </si>
  <si>
    <t>Pumps</t>
  </si>
  <si>
    <t>Hastelloy C</t>
  </si>
  <si>
    <t>High speed disk</t>
  </si>
  <si>
    <t>diameter, m</t>
  </si>
  <si>
    <t>(not applicable)</t>
  </si>
  <si>
    <t>Monel</t>
  </si>
  <si>
    <t>Atmospheric suspended basket</t>
  </si>
  <si>
    <t>power, kW</t>
  </si>
  <si>
    <t>Nickel and Inconel</t>
  </si>
  <si>
    <t>Blower</t>
  </si>
  <si>
    <t>m3/h</t>
  </si>
  <si>
    <t>Centrifugal</t>
  </si>
  <si>
    <t>Reciprocating</t>
  </si>
  <si>
    <t>Conveyors</t>
  </si>
  <si>
    <t>Belt, 0.5 m wide</t>
  </si>
  <si>
    <t>length, m</t>
  </si>
  <si>
    <t>Belt, 1.0 m wide</t>
  </si>
  <si>
    <t>Bucket elevator, 0.5 m bucket</t>
  </si>
  <si>
    <t>Crushers</t>
  </si>
  <si>
    <t>Reversible hammer mill</t>
  </si>
  <si>
    <t>t/h</t>
  </si>
  <si>
    <t>Pulverizers</t>
  </si>
  <si>
    <t>Jaw crushers</t>
  </si>
  <si>
    <t>Gyratory crusher</t>
  </si>
  <si>
    <t>Ball mill</t>
  </si>
  <si>
    <t>Crystallizers</t>
  </si>
  <si>
    <t>Scraped surface crystallizer</t>
  </si>
  <si>
    <t>Dryers</t>
  </si>
  <si>
    <t>Direct contact Rotary</t>
  </si>
  <si>
    <t>Atmospheric tray batch</t>
  </si>
  <si>
    <t>area, m2</t>
  </si>
  <si>
    <t>Spray dryer</t>
  </si>
  <si>
    <t>evap rate, kg/h</t>
  </si>
  <si>
    <t>Evaporators</t>
  </si>
  <si>
    <t>Vertical tube</t>
  </si>
  <si>
    <t>Agitated falling film</t>
  </si>
  <si>
    <t>Exchangers</t>
  </si>
  <si>
    <t>U-tube shell and tube</t>
  </si>
  <si>
    <t>Floating head shell and tube</t>
  </si>
  <si>
    <t>Double pipe</t>
  </si>
  <si>
    <t>Thermosiphon reboiler</t>
  </si>
  <si>
    <t>U-tube Kettle reboiler</t>
  </si>
  <si>
    <t>Plate and frame</t>
  </si>
  <si>
    <t>Filters</t>
  </si>
  <si>
    <t>capacity, m3</t>
  </si>
  <si>
    <t>Vacuum drum</t>
  </si>
  <si>
    <t>Furnaces</t>
  </si>
  <si>
    <t>Cylindrical</t>
  </si>
  <si>
    <t>duty, MW</t>
  </si>
  <si>
    <t>Box</t>
  </si>
  <si>
    <t>Packings</t>
  </si>
  <si>
    <t>304 ss Raschig rings</t>
  </si>
  <si>
    <t>m3</t>
  </si>
  <si>
    <t>Ceramic intalox saddles</t>
  </si>
  <si>
    <t>304 ss Pall rings</t>
  </si>
  <si>
    <t>PVC structured packing</t>
  </si>
  <si>
    <t>304 ss structured packing</t>
  </si>
  <si>
    <t>shell mass, kg</t>
  </si>
  <si>
    <t>Horizontal, cs</t>
  </si>
  <si>
    <t>Vertical, ss</t>
  </si>
  <si>
    <t>Horizontal, ss</t>
  </si>
  <si>
    <t>Pumps and drivers</t>
  </si>
  <si>
    <t>Single stage centrifugal</t>
  </si>
  <si>
    <t>flow, liters/s</t>
  </si>
  <si>
    <t>Explosion proof motor</t>
  </si>
  <si>
    <t>Condensing steam turbine</t>
  </si>
  <si>
    <t>Reactors</t>
  </si>
  <si>
    <t>Jacketed, agitated</t>
  </si>
  <si>
    <t>volume, m3</t>
  </si>
  <si>
    <t>Jacketed, agitated, glass lined</t>
  </si>
  <si>
    <t>Tanks</t>
  </si>
  <si>
    <t>Floating roof</t>
  </si>
  <si>
    <t>Cone roof</t>
  </si>
  <si>
    <t>Trays</t>
  </si>
  <si>
    <t>Sieve trays</t>
  </si>
  <si>
    <t>Valve trays</t>
  </si>
  <si>
    <t>Bubble cap trays</t>
  </si>
  <si>
    <t>Utilities</t>
  </si>
  <si>
    <t>Cooling tower &amp; pumps</t>
  </si>
  <si>
    <t>Packaged mechanical refrigerator evaporator</t>
  </si>
  <si>
    <t>duty, kW</t>
  </si>
  <si>
    <t>Water ion exhange plant</t>
  </si>
  <si>
    <t>flow, m3/h</t>
  </si>
  <si>
    <t>CEPCI (Jan. 2010)</t>
  </si>
  <si>
    <t>Size from Aspen Plus</t>
  </si>
  <si>
    <t>CO2 electrolysis section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</si>
  <si>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/CO absorption</t>
    </r>
  </si>
  <si>
    <t>Input</t>
  </si>
  <si>
    <r>
      <t>Mole fraction CO</t>
    </r>
    <r>
      <rPr>
        <vertAlign val="subscript"/>
        <sz val="11"/>
        <color theme="1"/>
        <rFont val="Calibri"/>
        <family val="2"/>
        <scheme val="minor"/>
      </rPr>
      <t>2</t>
    </r>
  </si>
  <si>
    <t>Calculated cost</t>
  </si>
  <si>
    <t>CO recovery</t>
  </si>
  <si>
    <t>Bains2017</t>
  </si>
  <si>
    <t>Miscellaneous costs</t>
  </si>
  <si>
    <t>Sajeev2026</t>
  </si>
  <si>
    <t>Gas feed flow rate, kg/h</t>
  </si>
  <si>
    <t>M$</t>
  </si>
  <si>
    <t>SOEC-HX1</t>
  </si>
  <si>
    <t>Size description (Aspen Plus)</t>
  </si>
  <si>
    <t>HX</t>
  </si>
  <si>
    <t>Anodic heat exchanger</t>
  </si>
  <si>
    <t>Inlet temperature / °C</t>
  </si>
  <si>
    <t>Outlet temperature / °C</t>
  </si>
  <si>
    <t>SOEC-HX3</t>
  </si>
  <si>
    <t>Anodic steam generation</t>
  </si>
  <si>
    <t>SOEC-HX4</t>
  </si>
  <si>
    <t>Cathodic steam generation</t>
  </si>
  <si>
    <t>Electrolyzer</t>
  </si>
  <si>
    <t>Heat Integrated / kW</t>
  </si>
  <si>
    <t>Utility / kW</t>
  </si>
  <si>
    <t>Utility type</t>
  </si>
  <si>
    <t>Liquid separation</t>
  </si>
  <si>
    <t>Protonated product cooler</t>
  </si>
  <si>
    <t>LS-HX1</t>
  </si>
  <si>
    <t>SOEC-HX2</t>
  </si>
  <si>
    <t>Cathodic heat exchanger</t>
  </si>
  <si>
    <t>LS-HX2</t>
  </si>
  <si>
    <t>Feed preheater for MVR-DC</t>
  </si>
  <si>
    <t>MVR-COND</t>
  </si>
  <si>
    <t>Condenser</t>
  </si>
  <si>
    <t>MVR-DC Condenser</t>
  </si>
  <si>
    <t>Reboiler</t>
  </si>
  <si>
    <t>MVR-DC Reboiler</t>
  </si>
  <si>
    <t>MVRDC-REB</t>
  </si>
  <si>
    <t>MVR-SI-R</t>
  </si>
  <si>
    <t>MVR-DC side reboiler</t>
  </si>
  <si>
    <t>LS-HX3</t>
  </si>
  <si>
    <t>Feed preheater for SS</t>
  </si>
  <si>
    <t>SS-COND</t>
  </si>
  <si>
    <t>SS Condenser</t>
  </si>
  <si>
    <t>Electrolyte recovery</t>
  </si>
  <si>
    <t>LS-HX4</t>
  </si>
  <si>
    <t>EA recycle cooler</t>
  </si>
  <si>
    <t>ELRE-HX1</t>
  </si>
  <si>
    <t>Adsorption heat exchanger</t>
  </si>
  <si>
    <t>ELRE-HX2</t>
  </si>
  <si>
    <t>Adsorption feed cooler</t>
  </si>
  <si>
    <t>ELRE-EVA</t>
  </si>
  <si>
    <t>5-effect TVR evaporator</t>
  </si>
  <si>
    <t>Brine 5-effect TVR evaporator</t>
  </si>
  <si>
    <t>ELRE-HX3</t>
  </si>
  <si>
    <t>Brine cooler</t>
  </si>
  <si>
    <t>ELRE-HX4</t>
  </si>
  <si>
    <t>Average CP flow / kW/°C</t>
  </si>
  <si>
    <t>CW</t>
  </si>
  <si>
    <t>$/GJ</t>
  </si>
  <si>
    <t>LP-steam (3 bar)</t>
  </si>
  <si>
    <t>MP-steam (20 bar)</t>
  </si>
  <si>
    <t>HP-steam (40 bar)</t>
  </si>
  <si>
    <t>LP-Steam / GJ</t>
  </si>
  <si>
    <t>CW / GJ</t>
  </si>
  <si>
    <t>MP-Steam / GJ</t>
  </si>
  <si>
    <t>HP-Steam / GJ</t>
  </si>
  <si>
    <t>Utility usage per year</t>
  </si>
  <si>
    <t>Heat integration</t>
  </si>
  <si>
    <t>Amount</t>
  </si>
  <si>
    <t>Cost / M$</t>
  </si>
  <si>
    <t>Electricity / kWh</t>
  </si>
  <si>
    <t>Heat</t>
  </si>
  <si>
    <t>Electricity</t>
  </si>
  <si>
    <t>Power / kW</t>
  </si>
  <si>
    <t>MVR-COMP</t>
  </si>
  <si>
    <t>Compressor</t>
  </si>
  <si>
    <t>KCL-ELEC</t>
  </si>
  <si>
    <t>Raw materials</t>
  </si>
  <si>
    <t>Amount / t/y</t>
  </si>
  <si>
    <r>
      <rPr>
        <sz val="11"/>
        <color theme="1"/>
        <rFont val="Calibri"/>
        <family val="2"/>
        <scheme val="minor"/>
      </rPr>
      <t>CO</t>
    </r>
    <r>
      <rPr>
        <vertAlign val="subscript"/>
        <sz val="11"/>
        <color theme="1"/>
        <rFont val="Calibri"/>
        <family val="2"/>
        <scheme val="minor"/>
      </rPr>
      <t>2</t>
    </r>
  </si>
  <si>
    <t>Cost / M$/y</t>
  </si>
  <si>
    <t>Process water</t>
  </si>
  <si>
    <t>HCl acid (33 wt%)</t>
  </si>
  <si>
    <t>M$/y</t>
  </si>
  <si>
    <t>Ethyl acetate</t>
  </si>
  <si>
    <t>MP-steam</t>
  </si>
  <si>
    <t>Amount / GJ/y</t>
  </si>
  <si>
    <t>LP-steam</t>
  </si>
  <si>
    <t>HP-steam</t>
  </si>
  <si>
    <t>Cooling water</t>
  </si>
  <si>
    <t>Brine heater</t>
  </si>
  <si>
    <t>LP-steam (3 bar, 133.522°C) vaporization enthalpy</t>
  </si>
  <si>
    <t>kJ/kg</t>
  </si>
  <si>
    <t>Delivered LP-steam from ELRE-EVA outlet</t>
  </si>
  <si>
    <t>Missing</t>
  </si>
  <si>
    <t>With ELRE-HX3</t>
  </si>
  <si>
    <t>Just MVRDC-REB and SS steam supply (3 bar)</t>
  </si>
  <si>
    <t>LP-steam demand</t>
  </si>
  <si>
    <t>Evaporation Heat demand</t>
  </si>
  <si>
    <t>Heat source HP</t>
  </si>
  <si>
    <t>Heat Int source</t>
  </si>
  <si>
    <t>Intermediate temp  / °C</t>
  </si>
  <si>
    <t>Cooling water (30 °C)</t>
  </si>
  <si>
    <t>Chilled water (10 °C)</t>
  </si>
  <si>
    <t>Towler2021</t>
  </si>
  <si>
    <t>Chilled water</t>
  </si>
  <si>
    <t>Chilled water / GJ</t>
  </si>
  <si>
    <t>Heat pump</t>
  </si>
  <si>
    <t>HP-COMPR</t>
  </si>
  <si>
    <t>ST-EV-CO</t>
  </si>
  <si>
    <t>Process sections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</si>
  <si>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Electrolysis section</t>
    </r>
  </si>
  <si>
    <t>CO2 Electrolysis section</t>
  </si>
  <si>
    <t>Power, kW</t>
  </si>
  <si>
    <t>Estimated heat transfer coefficient / W/m2/°C</t>
  </si>
  <si>
    <t>Anodic liquid buffer tank</t>
  </si>
  <si>
    <t>Average volume flow, m3/h</t>
  </si>
  <si>
    <t>KOH buffer tank</t>
  </si>
  <si>
    <t>Assuming replenishment every 24 hours and tank holds 72 h of inventory</t>
  </si>
  <si>
    <t>HCL-PROT</t>
  </si>
  <si>
    <t>Outlet volume flow, m3/h</t>
  </si>
  <si>
    <t>Assuming average residence time of 45 min and 70% fillling</t>
  </si>
  <si>
    <t>LLX</t>
  </si>
  <si>
    <t>MVR-DC</t>
  </si>
  <si>
    <t>DECANT</t>
  </si>
  <si>
    <t>STRIPPER</t>
  </si>
  <si>
    <t>Reactor</t>
  </si>
  <si>
    <t>Advective cooling from inlet</t>
  </si>
  <si>
    <t>SS-COND2</t>
  </si>
  <si>
    <t>SS Condenser 2</t>
  </si>
  <si>
    <t>Heat matches</t>
  </si>
  <si>
    <t>LS-HX3-2</t>
  </si>
  <si>
    <t>Feed preheater for SS2</t>
  </si>
  <si>
    <t>LS-HX1-2</t>
  </si>
  <si>
    <t>Protonated product cooler 2</t>
  </si>
  <si>
    <t>LS-HX4-2</t>
  </si>
  <si>
    <t>EA recycle cooler 2</t>
  </si>
  <si>
    <t>LS-HX2/SS-COND</t>
  </si>
  <si>
    <t>AA-ADS1-4</t>
  </si>
  <si>
    <t>Activated carbon</t>
  </si>
  <si>
    <t>ELRE-HX4/LS-HX3</t>
  </si>
  <si>
    <t>CAPEX electrolyzers (2010)</t>
  </si>
  <si>
    <t>Water preheater</t>
  </si>
  <si>
    <t>Total water demand for preheating</t>
  </si>
  <si>
    <t>Dechlorination</t>
  </si>
  <si>
    <t>ELRE-HX5-2</t>
  </si>
  <si>
    <t>Caustic cooler 2</t>
  </si>
  <si>
    <t>MVR-COND2</t>
  </si>
  <si>
    <t>MVR-DC Condenser 2</t>
  </si>
  <si>
    <t>LP-steam from HP</t>
  </si>
  <si>
    <t>MVR-COND+ELRE-HX4</t>
  </si>
  <si>
    <t>MVR-COND/LS-HX3</t>
  </si>
  <si>
    <t>HP-COND</t>
  </si>
  <si>
    <t>packing volume, ft3</t>
  </si>
  <si>
    <t>Seider2016 cost of 41$/ft3 of activated carbon</t>
  </si>
  <si>
    <t>Height, m</t>
  </si>
  <si>
    <t>0.9 cm wall thickness with 4mm corrosion allowance (Towler2021, Table 14.4.8)</t>
  </si>
  <si>
    <t>Outlet volume flow, m3/s</t>
  </si>
  <si>
    <t>Assuming residence time 10 min: 28.8 m3 active liquid volume, half full, length diameter-ratio 3, 8.7m length, 2.9m diameter, 10 mm wall thickness [Towler2021]</t>
  </si>
  <si>
    <t>At 4 BV/h with brine flow of 53 m3/h: 13.25 m3 activated carbon requried (+20% additional headspace), using height/diameter-ratio 3, vessel height 5.7m, diameter 1.9 m, wall thickness 0.9cm [Towler2021, OBrien2004]</t>
  </si>
  <si>
    <t>Brine volume flow rate, m3/h</t>
  </si>
  <si>
    <t>Total volume flow rate, m3/h</t>
  </si>
  <si>
    <t>Using structured packings with capacity 50 m3/m2/h: diameter = 2.34 m; assuming conservative HETS = 1m, 2m settling zones at each end; total height 19m, wall thickness 11 mm [Pfennig2024, Towler2021]</t>
  </si>
  <si>
    <t>Hot stream</t>
  </si>
  <si>
    <t>Cold stream</t>
  </si>
  <si>
    <t>Total Power / kW</t>
  </si>
  <si>
    <t xml:space="preserve"> </t>
  </si>
  <si>
    <t>Water boiler</t>
  </si>
  <si>
    <t>Notes / Delta T_m for HEXs</t>
  </si>
  <si>
    <t>Escalation factors</t>
  </si>
  <si>
    <t>OSBL Costs / %</t>
  </si>
  <si>
    <t>D&amp;E / %</t>
  </si>
  <si>
    <t>Contingency / %</t>
  </si>
  <si>
    <t>Working Capital</t>
  </si>
  <si>
    <t>Working Capital / %</t>
  </si>
  <si>
    <t>CO2</t>
  </si>
  <si>
    <t>Products</t>
  </si>
  <si>
    <t>SALES</t>
  </si>
  <si>
    <t>Total w/o electrolyzers</t>
  </si>
  <si>
    <t>Total w/ electrolyzers</t>
  </si>
  <si>
    <t>Purchased equipment cost (base, without material factors)</t>
  </si>
  <si>
    <t>Direct Plant Cost (incl. OSBL)</t>
  </si>
  <si>
    <t>PEC</t>
  </si>
  <si>
    <r>
      <t>C</t>
    </r>
    <r>
      <rPr>
        <vertAlign val="subscript"/>
        <sz val="11"/>
        <color theme="1"/>
        <rFont val="Calibri"/>
        <family val="2"/>
        <scheme val="minor"/>
      </rPr>
      <t>ISBL</t>
    </r>
  </si>
  <si>
    <r>
      <t>C</t>
    </r>
    <r>
      <rPr>
        <vertAlign val="subscript"/>
        <sz val="11"/>
        <color theme="1"/>
        <rFont val="Calibri"/>
        <family val="2"/>
        <scheme val="minor"/>
      </rPr>
      <t>DPC</t>
    </r>
  </si>
  <si>
    <r>
      <t>C</t>
    </r>
    <r>
      <rPr>
        <vertAlign val="subscript"/>
        <sz val="11"/>
        <color theme="1"/>
        <rFont val="Calibri"/>
        <family val="2"/>
        <scheme val="minor"/>
      </rPr>
      <t>TPC</t>
    </r>
  </si>
  <si>
    <t>Total plant cost (incl. D&amp;E)</t>
  </si>
  <si>
    <r>
      <t>C</t>
    </r>
    <r>
      <rPr>
        <vertAlign val="subscript"/>
        <sz val="11"/>
        <color theme="1"/>
        <rFont val="Calibri"/>
        <family val="2"/>
        <scheme val="minor"/>
      </rPr>
      <t>TDC</t>
    </r>
  </si>
  <si>
    <t>M$ (excl. Electrolyzers)</t>
  </si>
  <si>
    <t>M$ (Electrolyzers)</t>
  </si>
  <si>
    <t>Total ISBL costs (incl. Installation, instrumentation, piping, electrical) in 2025</t>
  </si>
  <si>
    <t>Total depreciable capital (incl. Contingency) (UK, 2025)</t>
  </si>
  <si>
    <t>Operators/Shift</t>
  </si>
  <si>
    <t>Number of shifts (24/7 operation)</t>
  </si>
  <si>
    <t>13/04/2026</t>
  </si>
  <si>
    <t>Income Tax (NL)</t>
  </si>
  <si>
    <t>Income Tax (UK)</t>
  </si>
  <si>
    <t>Depreciation</t>
  </si>
  <si>
    <t>% of C_TPI</t>
  </si>
  <si>
    <t>Operating Labour</t>
  </si>
  <si>
    <t>Cost M$/y</t>
  </si>
  <si>
    <t>Operator/unit/shift</t>
  </si>
  <si>
    <t>Compressors and blowers</t>
  </si>
  <si>
    <t>Centrifuge</t>
  </si>
  <si>
    <t>Crystallizer</t>
  </si>
  <si>
    <t>Dryer</t>
  </si>
  <si>
    <t>Evaporator</t>
  </si>
  <si>
    <t>Heat exchanger</t>
  </si>
  <si>
    <t>Vessel, tower</t>
  </si>
  <si>
    <t>Reactor (continuous)</t>
  </si>
  <si>
    <t>Filter (continuous)</t>
  </si>
  <si>
    <t>Number of units</t>
  </si>
  <si>
    <t>From Harmsen2018:</t>
  </si>
  <si>
    <t>Maintenance labor, supervision</t>
  </si>
  <si>
    <t>Operating Supervision</t>
  </si>
  <si>
    <t>% of operating labour</t>
  </si>
  <si>
    <t>Operating supplies</t>
  </si>
  <si>
    <t>% of maintenance supplies</t>
  </si>
  <si>
    <t>Maintenance supplies</t>
  </si>
  <si>
    <t>Laboratory charges</t>
  </si>
  <si>
    <t>Total number of operators</t>
  </si>
  <si>
    <t>Cost operator</t>
  </si>
  <si>
    <r>
      <t>C</t>
    </r>
    <r>
      <rPr>
        <vertAlign val="subscript"/>
        <sz val="11"/>
        <color theme="1"/>
        <rFont val="Calibri"/>
        <family val="2"/>
        <scheme val="minor"/>
      </rPr>
      <t>TPI</t>
    </r>
  </si>
  <si>
    <t>Total permanent investment (incl. Cost of land)</t>
  </si>
  <si>
    <r>
      <t>C</t>
    </r>
    <r>
      <rPr>
        <vertAlign val="subscript"/>
        <sz val="11"/>
        <color theme="1"/>
        <rFont val="Calibri"/>
        <family val="2"/>
        <scheme val="minor"/>
      </rPr>
      <t>TCI</t>
    </r>
  </si>
  <si>
    <t>Total capital investment (incl. Working capital)</t>
  </si>
  <si>
    <t>Labor/Maintenance</t>
  </si>
  <si>
    <t>% of TCI of conventional chlorine membrane plant [Seider2016], TDC in 2013 USGC</t>
  </si>
  <si>
    <t>CEPCI (2013)</t>
  </si>
  <si>
    <t>OBrien2004, Seider2016</t>
  </si>
  <si>
    <t>% of total OPEX of conventional membrane electrolyis chlroine plant</t>
  </si>
  <si>
    <t>Plant overhead costs</t>
  </si>
  <si>
    <t>Overall</t>
  </si>
  <si>
    <t xml:space="preserve">Plant overhead costs </t>
  </si>
  <si>
    <t>% of operating + maintenance labor and supervision</t>
  </si>
  <si>
    <t>General costs</t>
  </si>
  <si>
    <t>Administration</t>
  </si>
  <si>
    <t>Marketing &amp; sales</t>
  </si>
  <si>
    <t>R&amp;D</t>
  </si>
  <si>
    <t>% of sales</t>
  </si>
  <si>
    <t>OPEX TOTAL</t>
  </si>
  <si>
    <t>Purchased Equipment Cost with electrolyzer eplacement</t>
  </si>
  <si>
    <r>
      <t>$/t</t>
    </r>
    <r>
      <rPr>
        <vertAlign val="subscript"/>
        <sz val="11"/>
        <color theme="1"/>
        <rFont val="Calibri"/>
        <family val="2"/>
        <scheme val="minor"/>
      </rPr>
      <t>CO2</t>
    </r>
    <r>
      <rPr>
        <sz val="11"/>
        <color theme="1"/>
        <rFont val="Calibri"/>
        <family val="2"/>
        <scheme val="minor"/>
      </rPr>
      <t xml:space="preserve"> </t>
    </r>
  </si>
  <si>
    <t>CO2 flue gas concentration</t>
  </si>
  <si>
    <t>Using steel blast furnace gas</t>
  </si>
  <si>
    <t>CO2/CO absorption</t>
  </si>
  <si>
    <t>% of overall costs per t_CO2</t>
  </si>
  <si>
    <t>Bains2017, Sajeev2026</t>
  </si>
  <si>
    <t>Year</t>
  </si>
  <si>
    <t>Capital Expenses</t>
  </si>
  <si>
    <t>Net Profit</t>
  </si>
  <si>
    <t>Net Earning</t>
  </si>
  <si>
    <t xml:space="preserve">Cash Flow (Present Value) </t>
  </si>
  <si>
    <t>Cumulative Present Value</t>
  </si>
  <si>
    <t>Total depreciable capital</t>
  </si>
  <si>
    <t>Income tax</t>
  </si>
  <si>
    <t>Salvage value</t>
  </si>
  <si>
    <t>Working capital</t>
  </si>
  <si>
    <t>Nominal interest rate</t>
  </si>
  <si>
    <t>Depreciation period</t>
  </si>
  <si>
    <t>Depreciation mechanism</t>
  </si>
  <si>
    <t>straight line</t>
  </si>
  <si>
    <t>NET PROFIT</t>
  </si>
  <si>
    <t>NPV</t>
  </si>
  <si>
    <t>Annual Capital Charge Ratio (ACCR)</t>
  </si>
  <si>
    <t>Sensitivity Analysis (= +- 30 %)</t>
  </si>
  <si>
    <t>Electricity cost</t>
  </si>
  <si>
    <t>Base</t>
  </si>
  <si>
    <t>$/kWh</t>
  </si>
  <si>
    <t>Current density MEA</t>
  </si>
  <si>
    <t>mA/cm2</t>
  </si>
  <si>
    <t>Most favorable</t>
  </si>
  <si>
    <t>$/kW</t>
  </si>
  <si>
    <t>% of base</t>
  </si>
  <si>
    <t>Products selling price</t>
  </si>
  <si>
    <t>in $/m2</t>
  </si>
  <si>
    <t>CAPEX stacked bar diargam</t>
  </si>
  <si>
    <t>Gas separation</t>
  </si>
  <si>
    <t>OPEX stacked bar diagram</t>
  </si>
  <si>
    <t>Percentage</t>
  </si>
  <si>
    <t>Overall ISBL multiplier (conventional equipment)</t>
  </si>
  <si>
    <t>M$, TDC in 2025 UK</t>
  </si>
  <si>
    <t>M$, TDC 2025 western europe</t>
  </si>
  <si>
    <t>Caustic cooler/HP-EVAP</t>
  </si>
  <si>
    <t>HP-HX1</t>
  </si>
  <si>
    <t>Product</t>
  </si>
  <si>
    <t>Sales stacked bar</t>
  </si>
  <si>
    <t>General OPEX w/o electrolyzers</t>
  </si>
  <si>
    <t>OPEX Overview</t>
  </si>
  <si>
    <t xml:space="preserve">Prices ($/t) </t>
  </si>
  <si>
    <t>Utilites</t>
  </si>
  <si>
    <t>Share of electrolyzer maintenance</t>
  </si>
  <si>
    <t>Electrolyzer CAPEX SOEC</t>
  </si>
  <si>
    <t>Electrolyzer CAPEX MEA</t>
  </si>
  <si>
    <t>HP-EVAP/ELRE-HX5</t>
  </si>
  <si>
    <t>Problems</t>
  </si>
  <si>
    <t>- Data availability
- Modelling of species crossover in AEM</t>
  </si>
  <si>
    <t>- low data availability and many assumptions necessary</t>
  </si>
  <si>
    <t>- flow cell with electrolytes</t>
  </si>
  <si>
    <t>$/t</t>
  </si>
  <si>
    <t>Carbon intensities</t>
  </si>
  <si>
    <t>Grid-average (EU-27, 2024)</t>
  </si>
  <si>
    <t>gCO2e/kWhel</t>
  </si>
  <si>
    <t>EEA2025</t>
  </si>
  <si>
    <t xml:space="preserve">Steam </t>
  </si>
  <si>
    <t>Perez-Fortes2016</t>
  </si>
  <si>
    <t>gCO2e/kWhth</t>
  </si>
  <si>
    <t>Offshore wind</t>
  </si>
  <si>
    <t>UNECE2022</t>
  </si>
  <si>
    <t>38000€ + (Income exceeding 200,000€)*0.258</t>
  </si>
  <si>
    <t>Net Cash Flow</t>
  </si>
  <si>
    <t xml:space="preserve">TAC </t>
  </si>
  <si>
    <t>$/ton</t>
  </si>
  <si>
    <t>Refrigeration (-25 °C)</t>
  </si>
  <si>
    <t>SOEC-BLW</t>
  </si>
  <si>
    <t>Using a centrifugal turbo blower with cast aluminium blades (material factor = 0.6) with an outlet pressure of 2 bar and a total volumetric inlet flowrate of 73716.1971302969 ft^3/min, based on formula 16.30 from Seider2016, using a mechanical efficiency of 0.8 and specific heat ratio k = 1.4</t>
  </si>
  <si>
    <t>Brake horsepower, Hp</t>
  </si>
  <si>
    <t>Inlet volume flow rate, ft^3/min</t>
  </si>
  <si>
    <t>1.5cm wall thickness  (Towler2021, Table 14.4.8) + 4m extra height for sump and vapor disengagment</t>
  </si>
  <si>
    <t>Wastewater / t/y</t>
  </si>
  <si>
    <t>Price of wastewater treatment / $/t</t>
  </si>
  <si>
    <t>Cost of wastewater treatment / M$/y</t>
  </si>
  <si>
    <t>Currency correction factor = (avg USD/localcurrency in 2025)/(avg USD/localcurrency in 2003)</t>
  </si>
  <si>
    <t>Adjusted location factor (2025)</t>
  </si>
  <si>
    <t>Netherlands</t>
  </si>
  <si>
    <t>UK</t>
  </si>
  <si>
    <t>Location factor (2003)</t>
  </si>
  <si>
    <t>Wastewater treatment</t>
  </si>
  <si>
    <t>Centrifugal Blower [Seider2016]</t>
  </si>
  <si>
    <t>SOEC (+ HEXs)</t>
  </si>
  <si>
    <t>MEA (+ tanks)</t>
  </si>
  <si>
    <t>CO2 Electrolysis</t>
  </si>
  <si>
    <t>Cell voltage MEA</t>
  </si>
  <si>
    <t>Annualised CAPEX (ACC)</t>
  </si>
  <si>
    <t>LCOAA (economic allocation), no consideration of working capital or salvage value</t>
  </si>
  <si>
    <t>LCOAA</t>
  </si>
  <si>
    <t>CO2 conversion calc</t>
  </si>
  <si>
    <t xml:space="preserve"> % of base</t>
  </si>
  <si>
    <t>mA/cm^2</t>
  </si>
  <si>
    <t>CO2 cost</t>
  </si>
  <si>
    <t>$/t_AA</t>
  </si>
  <si>
    <t>S1</t>
  </si>
  <si>
    <t>HP</t>
  </si>
  <si>
    <t>no HP</t>
  </si>
  <si>
    <t>Thermal energy</t>
  </si>
  <si>
    <t>Actually utilized / t/y</t>
  </si>
  <si>
    <t>Cooling</t>
  </si>
  <si>
    <t>kWh/kg_CO2 utilized</t>
  </si>
  <si>
    <t>Stacked bar diagram energy demand/kgCO2 utilized</t>
  </si>
  <si>
    <t>SS-steam supply heat demand from 90°C to vapor</t>
  </si>
  <si>
    <t>Stacked bar diagram emissions per process section in gCO2/kgCO2 utilized</t>
  </si>
  <si>
    <t>Separation</t>
  </si>
  <si>
    <t>Stacked bar diagram emissions per process section in gCO2/kg main product</t>
  </si>
  <si>
    <t>Renewable</t>
  </si>
  <si>
    <t>Grid</t>
  </si>
  <si>
    <t>Cumulative net cash flow</t>
  </si>
  <si>
    <t>Stacked bar diagram energy demand/kg main product</t>
  </si>
  <si>
    <t>kWh/kg_main product</t>
  </si>
  <si>
    <t>in kWh/y</t>
  </si>
  <si>
    <t>Techno-economic scenario analysis</t>
  </si>
  <si>
    <t>Line chart - Cumulative net cash flow</t>
  </si>
  <si>
    <t>Base-case</t>
  </si>
  <si>
    <t>No HP</t>
  </si>
  <si>
    <t>Optimistic case</t>
  </si>
  <si>
    <t>No HP (set to 1 if desired)</t>
  </si>
  <si>
    <t>C_TDC (without HP)</t>
  </si>
  <si>
    <t>Net Profit (without HP)</t>
  </si>
  <si>
    <t>No heat pump</t>
  </si>
  <si>
    <t>Cumulative cash flow analysis ON (set to 1 if desired)</t>
  </si>
  <si>
    <t>NPV (20 years)</t>
  </si>
  <si>
    <t>Total emissions</t>
  </si>
  <si>
    <t>gCO2eq/kgCO2utilized</t>
  </si>
  <si>
    <t>OPEX - type categorisation</t>
  </si>
  <si>
    <t>Heating</t>
  </si>
  <si>
    <t>Operating Labor, Supervision, Laboratory charges</t>
  </si>
  <si>
    <t>Maintenance &amp; Repairs</t>
  </si>
  <si>
    <t>Plant overhead</t>
  </si>
  <si>
    <t>General expenses</t>
  </si>
  <si>
    <t>Raw materials &amp; consumables</t>
  </si>
  <si>
    <t>Miscellaneous</t>
  </si>
  <si>
    <t>Total current (SOEC+MEA)</t>
  </si>
  <si>
    <t xml:space="preserve">MEA and KCl-Electrolyzer purchase cost </t>
  </si>
  <si>
    <t xml:space="preserve">SOEC Electrolyzer purchase cost </t>
  </si>
  <si>
    <t>Enthalpy deficit</t>
  </si>
  <si>
    <t>Real enthalpy deficit</t>
  </si>
  <si>
    <t>Watt</t>
  </si>
  <si>
    <t>After</t>
  </si>
  <si>
    <t>Before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</si>
</sst>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_(* #,##0.00_);_(* \(#,##0.00\);_(* &quot;-&quot;??_);_(@_)"/>
    <numFmt numFmtId="165" formatCode="0.0%"/>
    <numFmt numFmtId="166" formatCode="0.000E+00"/>
    <numFmt numFmtId="167" formatCode="0.0000E+00"/>
    <numFmt numFmtId="168" formatCode="0.0E+00"/>
    <numFmt numFmtId="169" formatCode="0.00000E+00"/>
    <numFmt numFmtId="170" formatCode="0.000000E+00"/>
    <numFmt numFmtId="171" formatCode="0.0000%"/>
    <numFmt numFmtId="172" formatCode="0.00000000%"/>
    <numFmt numFmtId="173" formatCode="0.0000000E+00"/>
    <numFmt numFmtId="174" formatCode="0.00000"/>
    <numFmt numFmtId="175" formatCode="0.0"/>
    <numFmt numFmtId="176" formatCode="0.000000%"/>
    <numFmt numFmtId="177" formatCode="0.000"/>
    <numFmt numFmtId="178" formatCode="0.00000000000E+00"/>
    <numFmt numFmtId="179" formatCode="0.00000%"/>
    <numFmt numFmtId="180" formatCode="0.000000000000000E+00"/>
    <numFmt numFmtId="181" formatCode="0.0000000000%"/>
    <numFmt numFmtId="182" formatCode="0.00000000000"/>
    <numFmt numFmtId="183" formatCode="0.000000"/>
    <numFmt numFmtId="184" formatCode="0.00000000"/>
    <numFmt numFmtId="185" formatCode="0.0000000"/>
    <numFmt numFmtId="186" formatCode="0.000000000"/>
    <numFmt numFmtId="187" formatCode="0.000000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Segoe UI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rgb="FF0B0C0C"/>
      <name val="Arial"/>
      <family val="2"/>
    </font>
    <font>
      <u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7F7F7F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9" fontId="4" fillId="0" borderId="0" applyFont="0" applyFill="0" applyBorder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4" borderId="4" applyNumberFormat="0" applyFont="0" applyAlignment="0" applyProtection="0"/>
    <xf numFmtId="0" fontId="11" fillId="5" borderId="7" applyNumberFormat="0" applyAlignment="0" applyProtection="0"/>
    <xf numFmtId="0" fontId="12" fillId="5" borderId="2" applyNumberFormat="0" applyAlignment="0" applyProtection="0"/>
    <xf numFmtId="0" fontId="13" fillId="6" borderId="8" applyNumberFormat="0" applyAlignment="0" applyProtection="0"/>
    <xf numFmtId="0" fontId="14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6" fillId="13" borderId="0" applyNumberFormat="0" applyBorder="0" applyAlignment="0" applyProtection="0"/>
    <xf numFmtId="0" fontId="19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187">
    <xf numFmtId="0" fontId="0" fillId="0" borderId="0" xfId="0"/>
    <xf numFmtId="0" fontId="1" fillId="0" borderId="0" xfId="0" applyFont="1"/>
    <xf numFmtId="11" fontId="0" fillId="0" borderId="0" xfId="0" applyNumberFormat="1"/>
    <xf numFmtId="9" fontId="0" fillId="0" borderId="0" xfId="1" applyFont="1"/>
    <xf numFmtId="0" fontId="0" fillId="0" borderId="1" xfId="0" applyBorder="1"/>
    <xf numFmtId="0" fontId="5" fillId="0" borderId="0" xfId="0" applyFont="1"/>
    <xf numFmtId="0" fontId="0" fillId="2" borderId="0" xfId="0" applyFill="1"/>
    <xf numFmtId="165" fontId="0" fillId="0" borderId="0" xfId="1" applyNumberFormat="1" applyFont="1"/>
    <xf numFmtId="165" fontId="0" fillId="0" borderId="0" xfId="0" applyNumberFormat="1"/>
    <xf numFmtId="165" fontId="0" fillId="0" borderId="1" xfId="0" applyNumberFormat="1" applyBorder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7" fillId="3" borderId="2" xfId="2"/>
    <xf numFmtId="0" fontId="9" fillId="0" borderId="0" xfId="4"/>
    <xf numFmtId="9" fontId="7" fillId="3" borderId="2" xfId="2" applyNumberFormat="1"/>
    <xf numFmtId="0" fontId="7" fillId="3" borderId="2" xfId="2" applyNumberFormat="1"/>
    <xf numFmtId="165" fontId="7" fillId="3" borderId="2" xfId="2" applyNumberFormat="1"/>
    <xf numFmtId="9" fontId="8" fillId="0" borderId="3" xfId="3" applyNumberFormat="1"/>
    <xf numFmtId="0" fontId="0" fillId="0" borderId="5" xfId="0" applyBorder="1"/>
    <xf numFmtId="0" fontId="7" fillId="3" borderId="6" xfId="2" applyBorder="1"/>
    <xf numFmtId="0" fontId="7" fillId="3" borderId="0" xfId="2" applyBorder="1"/>
    <xf numFmtId="0" fontId="0" fillId="0" borderId="0" xfId="0" applyAlignment="1">
      <alignment wrapText="1"/>
    </xf>
    <xf numFmtId="170" fontId="0" fillId="0" borderId="0" xfId="0" applyNumberFormat="1"/>
    <xf numFmtId="166" fontId="0" fillId="0" borderId="0" xfId="1" applyNumberFormat="1" applyFont="1"/>
    <xf numFmtId="10" fontId="0" fillId="0" borderId="0" xfId="1" applyNumberFormat="1" applyFont="1"/>
    <xf numFmtId="0" fontId="0" fillId="0" borderId="0" xfId="1" applyNumberFormat="1" applyFont="1"/>
    <xf numFmtId="171" fontId="0" fillId="0" borderId="0" xfId="1" applyNumberFormat="1" applyFont="1"/>
    <xf numFmtId="171" fontId="0" fillId="0" borderId="0" xfId="0" applyNumberFormat="1"/>
    <xf numFmtId="0" fontId="10" fillId="0" borderId="0" xfId="0" applyFont="1" applyAlignment="1">
      <alignment vertical="center"/>
    </xf>
    <xf numFmtId="166" fontId="1" fillId="0" borderId="0" xfId="0" applyNumberFormat="1" applyFont="1"/>
    <xf numFmtId="172" fontId="0" fillId="0" borderId="0" xfId="1" applyNumberFormat="1" applyFont="1"/>
    <xf numFmtId="173" fontId="0" fillId="0" borderId="0" xfId="0" applyNumberFormat="1"/>
    <xf numFmtId="167" fontId="7" fillId="3" borderId="2" xfId="2" applyNumberFormat="1"/>
    <xf numFmtId="0" fontId="12" fillId="5" borderId="2" xfId="7"/>
    <xf numFmtId="2" fontId="12" fillId="5" borderId="2" xfId="7" applyNumberFormat="1"/>
    <xf numFmtId="11" fontId="12" fillId="5" borderId="2" xfId="7" applyNumberFormat="1"/>
    <xf numFmtId="0" fontId="12" fillId="5" borderId="2" xfId="7" applyNumberFormat="1"/>
    <xf numFmtId="0" fontId="0" fillId="4" borderId="4" xfId="5" applyFont="1"/>
    <xf numFmtId="0" fontId="11" fillId="5" borderId="7" xfId="6"/>
    <xf numFmtId="2" fontId="13" fillId="6" borderId="8" xfId="8" applyNumberFormat="1"/>
    <xf numFmtId="0" fontId="9" fillId="5" borderId="7" xfId="4" applyFill="1" applyBorder="1"/>
    <xf numFmtId="175" fontId="13" fillId="6" borderId="8" xfId="8" applyNumberFormat="1"/>
    <xf numFmtId="169" fontId="0" fillId="4" borderId="4" xfId="5" applyNumberFormat="1" applyFont="1"/>
    <xf numFmtId="176" fontId="12" fillId="5" borderId="2" xfId="7" applyNumberFormat="1"/>
    <xf numFmtId="2" fontId="0" fillId="0" borderId="0" xfId="0" applyNumberFormat="1"/>
    <xf numFmtId="174" fontId="7" fillId="3" borderId="2" xfId="2" applyNumberFormat="1"/>
    <xf numFmtId="174" fontId="0" fillId="0" borderId="0" xfId="0" applyNumberFormat="1"/>
    <xf numFmtId="0" fontId="0" fillId="0" borderId="9" xfId="0" applyBorder="1"/>
    <xf numFmtId="177" fontId="0" fillId="0" borderId="9" xfId="0" applyNumberFormat="1" applyBorder="1"/>
    <xf numFmtId="178" fontId="0" fillId="0" borderId="0" xfId="0" applyNumberFormat="1"/>
    <xf numFmtId="179" fontId="0" fillId="0" borderId="0" xfId="1" applyNumberFormat="1" applyFont="1"/>
    <xf numFmtId="180" fontId="0" fillId="0" borderId="0" xfId="0" applyNumberFormat="1"/>
    <xf numFmtId="181" fontId="0" fillId="0" borderId="0" xfId="0" applyNumberFormat="1"/>
    <xf numFmtId="182" fontId="0" fillId="0" borderId="0" xfId="1" applyNumberFormat="1" applyFont="1"/>
    <xf numFmtId="0" fontId="0" fillId="10" borderId="0" xfId="0" applyFill="1"/>
    <xf numFmtId="0" fontId="15" fillId="0" borderId="0" xfId="10"/>
    <xf numFmtId="0" fontId="0" fillId="0" borderId="11" xfId="0" applyBorder="1"/>
    <xf numFmtId="0" fontId="15" fillId="0" borderId="11" xfId="10" applyBorder="1"/>
    <xf numFmtId="0" fontId="0" fillId="0" borderId="12" xfId="0" applyBorder="1" applyAlignment="1">
      <alignment vertical="center" wrapText="1"/>
    </xf>
    <xf numFmtId="0" fontId="8" fillId="0" borderId="3" xfId="3"/>
    <xf numFmtId="1" fontId="12" fillId="5" borderId="2" xfId="7" applyNumberFormat="1"/>
    <xf numFmtId="0" fontId="1" fillId="11" borderId="10" xfId="0" applyFont="1" applyFill="1" applyBorder="1"/>
    <xf numFmtId="0" fontId="5" fillId="12" borderId="0" xfId="0" applyFont="1" applyFill="1"/>
    <xf numFmtId="0" fontId="0" fillId="12" borderId="0" xfId="0" applyFill="1"/>
    <xf numFmtId="0" fontId="0" fillId="0" borderId="12" xfId="0" applyBorder="1" applyAlignment="1">
      <alignment vertical="center"/>
    </xf>
    <xf numFmtId="175" fontId="0" fillId="0" borderId="0" xfId="0" applyNumberFormat="1"/>
    <xf numFmtId="0" fontId="14" fillId="7" borderId="0" xfId="9"/>
    <xf numFmtId="175" fontId="14" fillId="7" borderId="0" xfId="9" applyNumberFormat="1"/>
    <xf numFmtId="0" fontId="4" fillId="9" borderId="0" xfId="12"/>
    <xf numFmtId="175" fontId="4" fillId="9" borderId="0" xfId="12" applyNumberFormat="1"/>
    <xf numFmtId="0" fontId="4" fillId="8" borderId="0" xfId="11"/>
    <xf numFmtId="175" fontId="4" fillId="8" borderId="0" xfId="11" applyNumberFormat="1"/>
    <xf numFmtId="2" fontId="4" fillId="9" borderId="0" xfId="12" applyNumberFormat="1"/>
    <xf numFmtId="175" fontId="1" fillId="0" borderId="0" xfId="0" applyNumberFormat="1" applyFont="1"/>
    <xf numFmtId="0" fontId="16" fillId="13" borderId="0" xfId="13"/>
    <xf numFmtId="0" fontId="15" fillId="0" borderId="0" xfId="10" applyBorder="1"/>
    <xf numFmtId="0" fontId="15" fillId="0" borderId="0" xfId="10" applyAlignment="1">
      <alignment wrapText="1"/>
    </xf>
    <xf numFmtId="175" fontId="15" fillId="0" borderId="0" xfId="10" applyNumberFormat="1"/>
    <xf numFmtId="0" fontId="4" fillId="9" borderId="0" xfId="12" applyBorder="1"/>
    <xf numFmtId="175" fontId="4" fillId="9" borderId="0" xfId="12" applyNumberFormat="1" applyBorder="1"/>
    <xf numFmtId="0" fontId="16" fillId="13" borderId="0" xfId="13" applyBorder="1"/>
    <xf numFmtId="0" fontId="4" fillId="9" borderId="13" xfId="12" applyBorder="1"/>
    <xf numFmtId="0" fontId="4" fillId="9" borderId="14" xfId="12" applyBorder="1"/>
    <xf numFmtId="175" fontId="4" fillId="9" borderId="14" xfId="12" applyNumberFormat="1" applyBorder="1"/>
    <xf numFmtId="0" fontId="16" fillId="13" borderId="14" xfId="13" applyBorder="1"/>
    <xf numFmtId="0" fontId="0" fillId="0" borderId="14" xfId="0" applyBorder="1"/>
    <xf numFmtId="0" fontId="0" fillId="0" borderId="15" xfId="0" applyBorder="1"/>
    <xf numFmtId="0" fontId="4" fillId="9" borderId="16" xfId="12" applyBorder="1"/>
    <xf numFmtId="0" fontId="4" fillId="9" borderId="17" xfId="12" applyBorder="1"/>
    <xf numFmtId="175" fontId="4" fillId="9" borderId="17" xfId="12" applyNumberFormat="1" applyBorder="1"/>
    <xf numFmtId="0" fontId="0" fillId="0" borderId="17" xfId="0" applyBorder="1"/>
    <xf numFmtId="0" fontId="0" fillId="0" borderId="18" xfId="0" applyBorder="1"/>
    <xf numFmtId="0" fontId="4" fillId="8" borderId="13" xfId="11" applyBorder="1"/>
    <xf numFmtId="0" fontId="4" fillId="8" borderId="14" xfId="11" applyBorder="1"/>
    <xf numFmtId="175" fontId="4" fillId="8" borderId="14" xfId="11" applyNumberFormat="1" applyBorder="1"/>
    <xf numFmtId="2" fontId="0" fillId="0" borderId="14" xfId="0" applyNumberFormat="1" applyBorder="1"/>
    <xf numFmtId="2" fontId="0" fillId="0" borderId="15" xfId="0" applyNumberFormat="1" applyBorder="1"/>
    <xf numFmtId="0" fontId="4" fillId="8" borderId="16" xfId="11" applyBorder="1"/>
    <xf numFmtId="0" fontId="4" fillId="8" borderId="17" xfId="11" applyBorder="1"/>
    <xf numFmtId="175" fontId="4" fillId="8" borderId="17" xfId="11" applyNumberFormat="1" applyBorder="1"/>
    <xf numFmtId="2" fontId="0" fillId="0" borderId="17" xfId="0" applyNumberFormat="1" applyBorder="1"/>
    <xf numFmtId="2" fontId="0" fillId="0" borderId="18" xfId="0" applyNumberFormat="1" applyBorder="1"/>
    <xf numFmtId="0" fontId="14" fillId="7" borderId="0" xfId="9" applyBorder="1"/>
    <xf numFmtId="0" fontId="4" fillId="9" borderId="19" xfId="12" applyBorder="1"/>
    <xf numFmtId="0" fontId="0" fillId="0" borderId="20" xfId="0" applyBorder="1"/>
    <xf numFmtId="17" fontId="0" fillId="0" borderId="0" xfId="0" applyNumberFormat="1"/>
    <xf numFmtId="9" fontId="18" fillId="0" borderId="0" xfId="0" applyNumberFormat="1" applyFont="1"/>
    <xf numFmtId="1" fontId="12" fillId="5" borderId="2" xfId="7" applyNumberForma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175" fontId="0" fillId="0" borderId="0" xfId="0" applyNumberFormat="1" applyAlignment="1">
      <alignment wrapText="1"/>
    </xf>
    <xf numFmtId="9" fontId="0" fillId="0" borderId="0" xfId="1" applyFont="1" applyAlignment="1">
      <alignment wrapText="1"/>
    </xf>
    <xf numFmtId="0" fontId="0" fillId="0" borderId="0" xfId="1" applyNumberFormat="1" applyFont="1" applyAlignment="1">
      <alignment wrapText="1"/>
    </xf>
    <xf numFmtId="2" fontId="0" fillId="0" borderId="0" xfId="0" applyNumberFormat="1" applyAlignment="1">
      <alignment wrapText="1"/>
    </xf>
    <xf numFmtId="165" fontId="0" fillId="0" borderId="0" xfId="1" applyNumberFormat="1" applyFont="1" applyAlignment="1">
      <alignment wrapText="1"/>
    </xf>
    <xf numFmtId="1" fontId="0" fillId="0" borderId="0" xfId="0" applyNumberFormat="1" applyAlignment="1">
      <alignment wrapText="1"/>
    </xf>
    <xf numFmtId="0" fontId="0" fillId="0" borderId="13" xfId="0" applyBorder="1" applyAlignment="1">
      <alignment wrapText="1"/>
    </xf>
    <xf numFmtId="2" fontId="0" fillId="0" borderId="14" xfId="0" applyNumberForma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9" xfId="0" applyBorder="1" applyAlignment="1">
      <alignment wrapText="1"/>
    </xf>
    <xf numFmtId="9" fontId="0" fillId="0" borderId="0" xfId="1" applyFont="1" applyBorder="1" applyAlignment="1">
      <alignment wrapText="1"/>
    </xf>
    <xf numFmtId="0" fontId="0" fillId="0" borderId="20" xfId="0" applyBorder="1" applyAlignment="1">
      <alignment wrapText="1"/>
    </xf>
    <xf numFmtId="9" fontId="0" fillId="0" borderId="0" xfId="0" applyNumberFormat="1" applyAlignment="1">
      <alignment wrapText="1"/>
    </xf>
    <xf numFmtId="0" fontId="0" fillId="0" borderId="0" xfId="1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3" fontId="0" fillId="0" borderId="0" xfId="0" applyNumberFormat="1" applyAlignment="1">
      <alignment horizontal="center" wrapText="1"/>
    </xf>
    <xf numFmtId="3" fontId="0" fillId="0" borderId="20" xfId="0" applyNumberFormat="1" applyBorder="1" applyAlignment="1">
      <alignment horizontal="center" wrapText="1"/>
    </xf>
    <xf numFmtId="4" fontId="0" fillId="0" borderId="0" xfId="0" applyNumberFormat="1" applyAlignment="1">
      <alignment wrapText="1"/>
    </xf>
    <xf numFmtId="0" fontId="0" fillId="0" borderId="16" xfId="0" applyBorder="1" applyAlignment="1">
      <alignment wrapText="1"/>
    </xf>
    <xf numFmtId="175" fontId="0" fillId="0" borderId="17" xfId="0" applyNumberFormat="1" applyBorder="1" applyAlignment="1">
      <alignment wrapText="1"/>
    </xf>
    <xf numFmtId="0" fontId="0" fillId="0" borderId="21" xfId="0" applyBorder="1" applyAlignment="1">
      <alignment wrapText="1"/>
    </xf>
    <xf numFmtId="11" fontId="11" fillId="5" borderId="7" xfId="6" applyNumberFormat="1"/>
    <xf numFmtId="10" fontId="7" fillId="3" borderId="0" xfId="2" applyNumberFormat="1" applyBorder="1"/>
    <xf numFmtId="177" fontId="0" fillId="0" borderId="0" xfId="0" applyNumberFormat="1" applyAlignment="1">
      <alignment wrapText="1"/>
    </xf>
    <xf numFmtId="177" fontId="5" fillId="0" borderId="0" xfId="0" applyNumberFormat="1" applyFont="1" applyAlignment="1">
      <alignment wrapText="1"/>
    </xf>
    <xf numFmtId="184" fontId="0" fillId="0" borderId="0" xfId="0" applyNumberFormat="1" applyAlignment="1">
      <alignment wrapText="1"/>
    </xf>
    <xf numFmtId="177" fontId="0" fillId="0" borderId="0" xfId="1" applyNumberFormat="1" applyFont="1" applyAlignment="1">
      <alignment wrapText="1"/>
    </xf>
    <xf numFmtId="177" fontId="5" fillId="0" borderId="0" xfId="1" applyNumberFormat="1" applyFont="1" applyAlignment="1">
      <alignment wrapText="1"/>
    </xf>
    <xf numFmtId="1" fontId="0" fillId="0" borderId="0" xfId="0" applyNumberFormat="1"/>
    <xf numFmtId="1" fontId="0" fillId="0" borderId="21" xfId="0" applyNumberFormat="1" applyBorder="1" applyAlignment="1">
      <alignment wrapText="1"/>
    </xf>
    <xf numFmtId="49" fontId="6" fillId="4" borderId="4" xfId="5" applyNumberFormat="1" applyFont="1" applyAlignment="1">
      <alignment wrapText="1"/>
    </xf>
    <xf numFmtId="49" fontId="6" fillId="4" borderId="4" xfId="5" applyNumberFormat="1" applyFont="1" applyAlignment="1">
      <alignment horizontal="left"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83" fontId="0" fillId="0" borderId="0" xfId="0" applyNumberFormat="1"/>
    <xf numFmtId="10" fontId="0" fillId="0" borderId="0" xfId="0" applyNumberFormat="1"/>
    <xf numFmtId="0" fontId="19" fillId="0" borderId="0" xfId="14"/>
    <xf numFmtId="2" fontId="0" fillId="14" borderId="0" xfId="0" applyNumberFormat="1" applyFill="1" applyAlignment="1">
      <alignment wrapText="1"/>
    </xf>
    <xf numFmtId="11" fontId="0" fillId="0" borderId="0" xfId="0" applyNumberFormat="1" applyAlignment="1">
      <alignment wrapText="1"/>
    </xf>
    <xf numFmtId="177" fontId="0" fillId="0" borderId="0" xfId="15" applyNumberFormat="1" applyFont="1"/>
    <xf numFmtId="177" fontId="0" fillId="0" borderId="9" xfId="15" applyNumberFormat="1" applyFont="1" applyBorder="1"/>
    <xf numFmtId="2" fontId="0" fillId="0" borderId="21" xfId="0" applyNumberFormat="1" applyBorder="1" applyAlignment="1">
      <alignment wrapText="1"/>
    </xf>
    <xf numFmtId="185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175" fontId="0" fillId="0" borderId="0" xfId="0" applyNumberFormat="1" applyAlignment="1">
      <alignment horizontal="right" wrapText="1"/>
    </xf>
    <xf numFmtId="175" fontId="0" fillId="0" borderId="20" xfId="0" applyNumberFormat="1" applyBorder="1" applyAlignment="1">
      <alignment horizontal="right" wrapText="1"/>
    </xf>
    <xf numFmtId="175" fontId="0" fillId="0" borderId="17" xfId="0" applyNumberFormat="1" applyBorder="1" applyAlignment="1">
      <alignment horizontal="right" wrapText="1"/>
    </xf>
    <xf numFmtId="175" fontId="0" fillId="0" borderId="18" xfId="0" applyNumberFormat="1" applyBorder="1" applyAlignment="1">
      <alignment horizontal="right"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20" xfId="0" applyFont="1" applyBorder="1" applyAlignment="1">
      <alignment wrapText="1"/>
    </xf>
    <xf numFmtId="186" fontId="0" fillId="0" borderId="0" xfId="0" applyNumberFormat="1" applyAlignment="1">
      <alignment wrapText="1"/>
    </xf>
    <xf numFmtId="2" fontId="0" fillId="0" borderId="20" xfId="0" applyNumberFormat="1" applyBorder="1" applyAlignment="1">
      <alignment wrapText="1"/>
    </xf>
    <xf numFmtId="175" fontId="0" fillId="0" borderId="20" xfId="0" applyNumberFormat="1" applyBorder="1" applyAlignment="1">
      <alignment wrapText="1"/>
    </xf>
    <xf numFmtId="187" fontId="0" fillId="0" borderId="0" xfId="0" applyNumberFormat="1"/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49" fontId="6" fillId="4" borderId="4" xfId="5" applyNumberFormat="1" applyFont="1" applyAlignment="1">
      <alignment horizontal="left" wrapText="1"/>
    </xf>
    <xf numFmtId="0" fontId="5" fillId="0" borderId="0" xfId="0" applyFont="1" applyAlignment="1">
      <alignment horizontal="center"/>
    </xf>
    <xf numFmtId="0" fontId="7" fillId="3" borderId="2" xfId="2" applyAlignment="1">
      <alignment horizontal="center"/>
    </xf>
    <xf numFmtId="166" fontId="0" fillId="0" borderId="0" xfId="0" applyNumberFormat="1" applyAlignment="1">
      <alignment horizontal="center"/>
    </xf>
    <xf numFmtId="175" fontId="4" fillId="9" borderId="0" xfId="12" applyNumberFormat="1" applyAlignment="1">
      <alignment horizontal="right" vertical="center"/>
    </xf>
    <xf numFmtId="175" fontId="5" fillId="9" borderId="14" xfId="12" applyNumberFormat="1" applyFont="1" applyBorder="1" applyAlignment="1">
      <alignment horizontal="right" vertical="center"/>
    </xf>
    <xf numFmtId="175" fontId="5" fillId="9" borderId="17" xfId="12" applyNumberFormat="1" applyFont="1" applyBorder="1" applyAlignment="1">
      <alignment horizontal="right" vertical="center"/>
    </xf>
    <xf numFmtId="175" fontId="4" fillId="9" borderId="14" xfId="12" applyNumberFormat="1" applyBorder="1" applyAlignment="1">
      <alignment horizontal="right" vertical="center"/>
    </xf>
    <xf numFmtId="175" fontId="4" fillId="9" borderId="17" xfId="12" applyNumberFormat="1" applyBorder="1" applyAlignment="1">
      <alignment horizontal="right" vertical="center"/>
    </xf>
    <xf numFmtId="175" fontId="4" fillId="8" borderId="14" xfId="11" applyNumberFormat="1" applyBorder="1" applyAlignment="1">
      <alignment horizontal="right" vertical="center"/>
    </xf>
    <xf numFmtId="175" fontId="4" fillId="8" borderId="17" xfId="11" applyNumberFormat="1" applyBorder="1" applyAlignment="1">
      <alignment horizontal="right" vertical="center"/>
    </xf>
    <xf numFmtId="0" fontId="13" fillId="11" borderId="10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175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left" wrapText="1"/>
    </xf>
  </cellXfs>
  <cellStyles count="16">
    <cellStyle name="40% - Accent1" xfId="11" builtinId="31"/>
    <cellStyle name="40% - Accent2" xfId="12" builtinId="35"/>
    <cellStyle name="Accent6" xfId="13" builtinId="49"/>
    <cellStyle name="Calculation" xfId="7" builtinId="22"/>
    <cellStyle name="Check Cell" xfId="8" builtinId="23"/>
    <cellStyle name="Comma" xfId="15" builtinId="3"/>
    <cellStyle name="Explanatory Text" xfId="10" builtinId="53"/>
    <cellStyle name="Good" xfId="9" builtinId="26"/>
    <cellStyle name="Hyperlink" xfId="14" builtinId="8"/>
    <cellStyle name="Input" xfId="2" builtinId="20"/>
    <cellStyle name="Linked Cell" xfId="3" builtinId="24"/>
    <cellStyle name="Normal" xfId="0" builtinId="0"/>
    <cellStyle name="Note" xfId="5" builtinId="10"/>
    <cellStyle name="Output" xfId="6" builtinId="21"/>
    <cellStyle name="Percent" xfId="1" builtinId="5"/>
    <cellStyle name="Warning Text" xfId="4" builtinId="1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CGCC!$B$2</c:f>
              <c:strCache>
                <c:ptCount val="1"/>
                <c:pt idx="0">
                  <c:v>Enthalpy deficit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CGCC!$B$4:$B$28</c:f>
              <c:numCache>
                <c:formatCode>0.00E+00</c:formatCode>
                <c:ptCount val="25"/>
                <c:pt idx="0">
                  <c:v>20645200</c:v>
                </c:pt>
                <c:pt idx="1">
                  <c:v>4127980</c:v>
                </c:pt>
                <c:pt idx="2" formatCode="General">
                  <c:v>490664</c:v>
                </c:pt>
                <c:pt idx="3" formatCode="General">
                  <c:v>34787.599999999999</c:v>
                </c:pt>
                <c:pt idx="4" formatCode="General">
                  <c:v>-25360.400000000001</c:v>
                </c:pt>
                <c:pt idx="5" formatCode="General">
                  <c:v>-44045.8</c:v>
                </c:pt>
                <c:pt idx="6" formatCode="General">
                  <c:v>-59171.6</c:v>
                </c:pt>
                <c:pt idx="7" formatCode="General">
                  <c:v>-73022.100000000006</c:v>
                </c:pt>
                <c:pt idx="8" formatCode="General">
                  <c:v>-83893.2</c:v>
                </c:pt>
                <c:pt idx="9" formatCode="General">
                  <c:v>-90204.5</c:v>
                </c:pt>
                <c:pt idx="10">
                  <c:v>1081340</c:v>
                </c:pt>
                <c:pt idx="11" formatCode="General">
                  <c:v>889903</c:v>
                </c:pt>
                <c:pt idx="12">
                  <c:v>6593500</c:v>
                </c:pt>
                <c:pt idx="13">
                  <c:v>15611700</c:v>
                </c:pt>
                <c:pt idx="14">
                  <c:v>15868200</c:v>
                </c:pt>
                <c:pt idx="15">
                  <c:v>16368300</c:v>
                </c:pt>
                <c:pt idx="16">
                  <c:v>17341900</c:v>
                </c:pt>
                <c:pt idx="17">
                  <c:v>18561000</c:v>
                </c:pt>
                <c:pt idx="18">
                  <c:v>19384700</c:v>
                </c:pt>
                <c:pt idx="19">
                  <c:v>19770200</c:v>
                </c:pt>
                <c:pt idx="20">
                  <c:v>19943200</c:v>
                </c:pt>
                <c:pt idx="21">
                  <c:v>20036600</c:v>
                </c:pt>
                <c:pt idx="22">
                  <c:v>20118600</c:v>
                </c:pt>
                <c:pt idx="23">
                  <c:v>20247400</c:v>
                </c:pt>
                <c:pt idx="24">
                  <c:v>20539200</c:v>
                </c:pt>
              </c:numCache>
            </c:numRef>
          </c:xVal>
          <c:yVal>
            <c:numRef>
              <c:f>CGCC!$A$4:$A$28</c:f>
              <c:numCache>
                <c:formatCode>General</c:formatCode>
                <c:ptCount val="25"/>
                <c:pt idx="0">
                  <c:v>72.619100000000003</c:v>
                </c:pt>
                <c:pt idx="1">
                  <c:v>74.565600000000003</c:v>
                </c:pt>
                <c:pt idx="2">
                  <c:v>74.940399999999997</c:v>
                </c:pt>
                <c:pt idx="3">
                  <c:v>75.122799999999998</c:v>
                </c:pt>
                <c:pt idx="4">
                  <c:v>75.320300000000003</c:v>
                </c:pt>
                <c:pt idx="5">
                  <c:v>75.561999999999998</c:v>
                </c:pt>
                <c:pt idx="6">
                  <c:v>75.851500000000001</c:v>
                </c:pt>
                <c:pt idx="7">
                  <c:v>76.182900000000004</c:v>
                </c:pt>
                <c:pt idx="8">
                  <c:v>76.543499999999995</c:v>
                </c:pt>
                <c:pt idx="9">
                  <c:v>76.917000000000002</c:v>
                </c:pt>
                <c:pt idx="10">
                  <c:v>77.287000000000006</c:v>
                </c:pt>
                <c:pt idx="11">
                  <c:v>77.639799999999994</c:v>
                </c:pt>
                <c:pt idx="12">
                  <c:v>77.965299999999999</c:v>
                </c:pt>
                <c:pt idx="13">
                  <c:v>82.057299999999998</c:v>
                </c:pt>
                <c:pt idx="14">
                  <c:v>82.609700000000004</c:v>
                </c:pt>
                <c:pt idx="15">
                  <c:v>83.391800000000003</c:v>
                </c:pt>
                <c:pt idx="16">
                  <c:v>85.096299999999999</c:v>
                </c:pt>
                <c:pt idx="17">
                  <c:v>89.195499999999996</c:v>
                </c:pt>
                <c:pt idx="18">
                  <c:v>96.735500000000002</c:v>
                </c:pt>
                <c:pt idx="19">
                  <c:v>105.358</c:v>
                </c:pt>
                <c:pt idx="20">
                  <c:v>111.76300000000001</c:v>
                </c:pt>
                <c:pt idx="21">
                  <c:v>115.452</c:v>
                </c:pt>
                <c:pt idx="22">
                  <c:v>117.35299999999999</c:v>
                </c:pt>
                <c:pt idx="23">
                  <c:v>118.30200000000001</c:v>
                </c:pt>
                <c:pt idx="24">
                  <c:v>118.78400000000001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67-433B-8EC7-26EAA4981794}"/>
            </c:ext>
          </c:extLst>
        </c:ser>
        <c:ser>
          <c:idx val="1"/>
          <c:order val="1"/>
          <c:tx>
            <c:strRef>
              <c:f>CGCC!$C$2</c:f>
              <c:strCache>
                <c:ptCount val="1"/>
                <c:pt idx="0">
                  <c:v>Real enthalpy deficit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CGCC!$C$4:$C$28</c:f>
              <c:numCache>
                <c:formatCode>General</c:formatCode>
                <c:ptCount val="25"/>
                <c:pt idx="0" formatCode="0.00E+00">
                  <c:v>20645200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 formatCode="0.00E+00">
                  <c:v>16000000</c:v>
                </c:pt>
                <c:pt idx="14" formatCode="0.00E+00">
                  <c:v>16000000</c:v>
                </c:pt>
                <c:pt idx="15" formatCode="0.00E+00">
                  <c:v>16000000</c:v>
                </c:pt>
                <c:pt idx="16" formatCode="0.00E+00">
                  <c:v>16000000</c:v>
                </c:pt>
                <c:pt idx="17" formatCode="0.00E+00">
                  <c:v>16000000</c:v>
                </c:pt>
                <c:pt idx="18" formatCode="0.00E+00">
                  <c:v>16000000</c:v>
                </c:pt>
                <c:pt idx="19" formatCode="0.00E+00">
                  <c:v>16000000</c:v>
                </c:pt>
                <c:pt idx="20" formatCode="0.00E+00">
                  <c:v>16000000</c:v>
                </c:pt>
                <c:pt idx="21" formatCode="0.00E+00">
                  <c:v>16000000</c:v>
                </c:pt>
                <c:pt idx="22" formatCode="0.00E+00">
                  <c:v>16000000</c:v>
                </c:pt>
                <c:pt idx="23" formatCode="0.00E+00">
                  <c:v>16000000</c:v>
                </c:pt>
                <c:pt idx="24" formatCode="0.00E+00">
                  <c:v>20539200</c:v>
                </c:pt>
              </c:numCache>
            </c:numRef>
          </c:xVal>
          <c:yVal>
            <c:numRef>
              <c:f>CGCC!$A$4:$A$28</c:f>
              <c:numCache>
                <c:formatCode>General</c:formatCode>
                <c:ptCount val="25"/>
                <c:pt idx="0">
                  <c:v>72.619100000000003</c:v>
                </c:pt>
                <c:pt idx="1">
                  <c:v>74.565600000000003</c:v>
                </c:pt>
                <c:pt idx="2">
                  <c:v>74.940399999999997</c:v>
                </c:pt>
                <c:pt idx="3">
                  <c:v>75.122799999999998</c:v>
                </c:pt>
                <c:pt idx="4">
                  <c:v>75.320300000000003</c:v>
                </c:pt>
                <c:pt idx="5">
                  <c:v>75.561999999999998</c:v>
                </c:pt>
                <c:pt idx="6">
                  <c:v>75.851500000000001</c:v>
                </c:pt>
                <c:pt idx="7">
                  <c:v>76.182900000000004</c:v>
                </c:pt>
                <c:pt idx="8">
                  <c:v>76.543499999999995</c:v>
                </c:pt>
                <c:pt idx="9">
                  <c:v>76.917000000000002</c:v>
                </c:pt>
                <c:pt idx="10">
                  <c:v>77.287000000000006</c:v>
                </c:pt>
                <c:pt idx="11">
                  <c:v>77.639799999999994</c:v>
                </c:pt>
                <c:pt idx="12">
                  <c:v>77.965299999999999</c:v>
                </c:pt>
                <c:pt idx="13">
                  <c:v>82.057299999999998</c:v>
                </c:pt>
                <c:pt idx="14">
                  <c:v>82.609700000000004</c:v>
                </c:pt>
                <c:pt idx="15">
                  <c:v>83.391800000000003</c:v>
                </c:pt>
                <c:pt idx="16">
                  <c:v>85.096299999999999</c:v>
                </c:pt>
                <c:pt idx="17">
                  <c:v>89.195499999999996</c:v>
                </c:pt>
                <c:pt idx="18">
                  <c:v>96.735500000000002</c:v>
                </c:pt>
                <c:pt idx="19">
                  <c:v>105.358</c:v>
                </c:pt>
                <c:pt idx="20">
                  <c:v>111.76300000000001</c:v>
                </c:pt>
                <c:pt idx="21">
                  <c:v>115.452</c:v>
                </c:pt>
                <c:pt idx="22">
                  <c:v>117.35299999999999</c:v>
                </c:pt>
                <c:pt idx="23">
                  <c:v>118.30200000000001</c:v>
                </c:pt>
                <c:pt idx="24">
                  <c:v>118.78400000000001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67-433B-8EC7-26EAA4981794}"/>
            </c:ext>
          </c:extLst>
        </c:ser>
        <c:ser>
          <c:idx val="2"/>
          <c:order val="2"/>
          <c:tx>
            <c:strRef>
              <c:f>CGCC!$G$2</c:f>
              <c:strCache>
                <c:ptCount val="1"/>
                <c:pt idx="0">
                  <c:v>Enthalpy deficit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CGCC!$G$4:$G$28</c:f>
              <c:numCache>
                <c:formatCode>0.00E+00</c:formatCode>
                <c:ptCount val="25"/>
                <c:pt idx="0">
                  <c:v>20646100</c:v>
                </c:pt>
                <c:pt idx="1">
                  <c:v>4128730</c:v>
                </c:pt>
                <c:pt idx="2" formatCode="General">
                  <c:v>499335</c:v>
                </c:pt>
                <c:pt idx="3" formatCode="General">
                  <c:v>51582.400000000001</c:v>
                </c:pt>
                <c:pt idx="4" formatCode="General">
                  <c:v>-76.0959</c:v>
                </c:pt>
                <c:pt idx="5" formatCode="General">
                  <c:v>-9700.2999999999993</c:v>
                </c:pt>
                <c:pt idx="6" formatCode="General">
                  <c:v>-16577.099999999999</c:v>
                </c:pt>
                <c:pt idx="7" formatCode="General">
                  <c:v>-25253.200000000001</c:v>
                </c:pt>
                <c:pt idx="8" formatCode="General">
                  <c:v>-36146.300000000003</c:v>
                </c:pt>
                <c:pt idx="9" formatCode="General">
                  <c:v>-48624.9</c:v>
                </c:pt>
                <c:pt idx="10" formatCode="General">
                  <c:v>-61295.8</c:v>
                </c:pt>
                <c:pt idx="11" formatCode="General">
                  <c:v>-72384.2</c:v>
                </c:pt>
                <c:pt idx="12">
                  <c:v>19601700</c:v>
                </c:pt>
                <c:pt idx="13">
                  <c:v>-2855530</c:v>
                </c:pt>
                <c:pt idx="14" formatCode="General">
                  <c:v>148457</c:v>
                </c:pt>
                <c:pt idx="15">
                  <c:v>5277990</c:v>
                </c:pt>
                <c:pt idx="16">
                  <c:v>12616400</c:v>
                </c:pt>
                <c:pt idx="17">
                  <c:v>17514400</c:v>
                </c:pt>
                <c:pt idx="18">
                  <c:v>19216600</c:v>
                </c:pt>
                <c:pt idx="19">
                  <c:v>19723900</c:v>
                </c:pt>
                <c:pt idx="20">
                  <c:v>19901900</c:v>
                </c:pt>
                <c:pt idx="21">
                  <c:v>19984800</c:v>
                </c:pt>
                <c:pt idx="22">
                  <c:v>20056800</c:v>
                </c:pt>
                <c:pt idx="23">
                  <c:v>20181300</c:v>
                </c:pt>
                <c:pt idx="24">
                  <c:v>20536200</c:v>
                </c:pt>
              </c:numCache>
            </c:numRef>
          </c:xVal>
          <c:yVal>
            <c:numRef>
              <c:f>CGCC!$F$4:$F$28</c:f>
              <c:numCache>
                <c:formatCode>General</c:formatCode>
                <c:ptCount val="25"/>
                <c:pt idx="0">
                  <c:v>72.613200000000006</c:v>
                </c:pt>
                <c:pt idx="1">
                  <c:v>74.528099999999995</c:v>
                </c:pt>
                <c:pt idx="2">
                  <c:v>74.854600000000005</c:v>
                </c:pt>
                <c:pt idx="3">
                  <c:v>74.965599999999995</c:v>
                </c:pt>
                <c:pt idx="4">
                  <c:v>75.063599999999994</c:v>
                </c:pt>
                <c:pt idx="5">
                  <c:v>75.176500000000004</c:v>
                </c:pt>
                <c:pt idx="6">
                  <c:v>75.313800000000001</c:v>
                </c:pt>
                <c:pt idx="7">
                  <c:v>75.483699999999999</c:v>
                </c:pt>
                <c:pt idx="8">
                  <c:v>75.692999999999998</c:v>
                </c:pt>
                <c:pt idx="9">
                  <c:v>75.945400000000006</c:v>
                </c:pt>
                <c:pt idx="10">
                  <c:v>76.238600000000005</c:v>
                </c:pt>
                <c:pt idx="11">
                  <c:v>76.564300000000003</c:v>
                </c:pt>
                <c:pt idx="12">
                  <c:v>76.909700000000001</c:v>
                </c:pt>
                <c:pt idx="13">
                  <c:v>77.993899999999996</c:v>
                </c:pt>
                <c:pt idx="14">
                  <c:v>78.717299999999994</c:v>
                </c:pt>
                <c:pt idx="15">
                  <c:v>79.470600000000005</c:v>
                </c:pt>
                <c:pt idx="16">
                  <c:v>81.174999999999997</c:v>
                </c:pt>
                <c:pt idx="17">
                  <c:v>85.796599999999998</c:v>
                </c:pt>
                <c:pt idx="18">
                  <c:v>95.317499999999995</c:v>
                </c:pt>
                <c:pt idx="19">
                  <c:v>106.032</c:v>
                </c:pt>
                <c:pt idx="20">
                  <c:v>112.97199999999999</c:v>
                </c:pt>
                <c:pt idx="21">
                  <c:v>116.38800000000001</c:v>
                </c:pt>
                <c:pt idx="22">
                  <c:v>117.923</c:v>
                </c:pt>
                <c:pt idx="23">
                  <c:v>118.60899999999999</c:v>
                </c:pt>
                <c:pt idx="24">
                  <c:v>118.93300000000001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67-433B-8EC7-26EAA4981794}"/>
            </c:ext>
          </c:extLst>
        </c:ser>
        <c:ser>
          <c:idx val="3"/>
          <c:order val="3"/>
          <c:tx>
            <c:strRef>
              <c:f>CGCC!$H$2</c:f>
              <c:strCache>
                <c:ptCount val="1"/>
                <c:pt idx="0">
                  <c:v>Real enthalpy deficit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CGCC!$H$4:$H$28</c:f>
              <c:numCache>
                <c:formatCode>General</c:formatCode>
                <c:ptCount val="25"/>
                <c:pt idx="0" formatCode="0.00E+00">
                  <c:v>20646100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 formatCode="0.00E+00">
                  <c:v>20536200</c:v>
                </c:pt>
              </c:numCache>
            </c:numRef>
          </c:xVal>
          <c:yVal>
            <c:numRef>
              <c:f>CGCC!$F$4:$F$28</c:f>
              <c:numCache>
                <c:formatCode>General</c:formatCode>
                <c:ptCount val="25"/>
                <c:pt idx="0">
                  <c:v>72.613200000000006</c:v>
                </c:pt>
                <c:pt idx="1">
                  <c:v>74.528099999999995</c:v>
                </c:pt>
                <c:pt idx="2">
                  <c:v>74.854600000000005</c:v>
                </c:pt>
                <c:pt idx="3">
                  <c:v>74.965599999999995</c:v>
                </c:pt>
                <c:pt idx="4">
                  <c:v>75.063599999999994</c:v>
                </c:pt>
                <c:pt idx="5">
                  <c:v>75.176500000000004</c:v>
                </c:pt>
                <c:pt idx="6">
                  <c:v>75.313800000000001</c:v>
                </c:pt>
                <c:pt idx="7">
                  <c:v>75.483699999999999</c:v>
                </c:pt>
                <c:pt idx="8">
                  <c:v>75.692999999999998</c:v>
                </c:pt>
                <c:pt idx="9">
                  <c:v>75.945400000000006</c:v>
                </c:pt>
                <c:pt idx="10">
                  <c:v>76.238600000000005</c:v>
                </c:pt>
                <c:pt idx="11">
                  <c:v>76.564300000000003</c:v>
                </c:pt>
                <c:pt idx="12">
                  <c:v>76.909700000000001</c:v>
                </c:pt>
                <c:pt idx="13">
                  <c:v>77.993899999999996</c:v>
                </c:pt>
                <c:pt idx="14">
                  <c:v>78.717299999999994</c:v>
                </c:pt>
                <c:pt idx="15">
                  <c:v>79.470600000000005</c:v>
                </c:pt>
                <c:pt idx="16">
                  <c:v>81.174999999999997</c:v>
                </c:pt>
                <c:pt idx="17">
                  <c:v>85.796599999999998</c:v>
                </c:pt>
                <c:pt idx="18">
                  <c:v>95.317499999999995</c:v>
                </c:pt>
                <c:pt idx="19">
                  <c:v>106.032</c:v>
                </c:pt>
                <c:pt idx="20">
                  <c:v>112.97199999999999</c:v>
                </c:pt>
                <c:pt idx="21">
                  <c:v>116.38800000000001</c:v>
                </c:pt>
                <c:pt idx="22">
                  <c:v>117.923</c:v>
                </c:pt>
                <c:pt idx="23">
                  <c:v>118.60899999999999</c:v>
                </c:pt>
                <c:pt idx="24">
                  <c:v>118.93300000000001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67-433B-8EC7-26EAA4981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915472"/>
        <c:axId val="2099003376"/>
      </c:scatterChart>
      <c:valAx>
        <c:axId val="15691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9003376"/>
        <c:crosses val="autoZero"/>
        <c:crossBetween val="midCat"/>
      </c:valAx>
      <c:valAx>
        <c:axId val="2099003376"/>
        <c:scaling>
          <c:orientation val="minMax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915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225123</xdr:colOff>
      <xdr:row>4</xdr:row>
      <xdr:rowOff>31969</xdr:rowOff>
    </xdr:from>
    <xdr:to>
      <xdr:col>18</xdr:col>
      <xdr:colOff>337070</xdr:colOff>
      <xdr:row>22</xdr:row>
      <xdr:rowOff>74010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1F69A26-02DE-4EF1-875B-0FB6FAE127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orenz Grau" id="{7FD61748-F038-45B1-9899-69BB21F019A2}" userId="S::lgrau@tudelft.nl::95165ea3-64a6-4eff-abff-0a850cab41c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2" dT="2026-01-28T15:24:12.21" personId="{7FD61748-F038-45B1-9899-69BB21F019A2}" id="{5EF9D8D4-3E6B-4426-9A4A-C12BE4F970C9}">
    <text>From Hauch 2020</text>
  </threadedComment>
  <threadedComment ref="C23" dT="2026-01-28T15:24:00.28" personId="{7FD61748-F038-45B1-9899-69BB21F019A2}" id="{0EB58C95-1C14-4A67-A87E-D36D7404CA5E}">
    <text>From Hauch2020</text>
  </threadedComment>
  <threadedComment ref="C24" dT="2026-01-28T15:25:31.94" personId="{7FD61748-F038-45B1-9899-69BB21F019A2}" id="{DA6E8D3D-BCB9-4353-A466-2E4FD05D14A0}">
    <text>Based on Küngas2020</text>
  </threadedComment>
  <threadedComment ref="C27" dT="2025-12-19T13:57:43.39" personId="{7FD61748-F038-45B1-9899-69BB21F019A2}" id="{BD287E4E-A23F-49CE-9FE5-0907F6CD305A}">
    <text>Based on Ramdin2021: SOEC requires 6 kWh/Nm3 of CO
Using Küngas2019 number of 3.3 kWh/Nm3 of CO yields very similar number as derived from own calculation based on Hauch2020 paper</text>
  </threadedComment>
  <threadedComment ref="C29" dT="2026-01-29T10:32:31.96" personId="{7FD61748-F038-45B1-9899-69BB21F019A2}" id="{9F56D5DA-03E7-46A0-8CF8-B34CEFEAAAB4}">
    <text>Assuming optimistic value for 2035 from [Hauch2020]</text>
  </threadedComment>
  <threadedComment ref="C30" dT="2026-01-29T10:32:47.98" personId="{7FD61748-F038-45B1-9899-69BB21F019A2}" id="{9270CB7F-83A9-4320-B214-B9AA5F59E62E}">
    <text>From [Hauch2020]</text>
  </threadedComment>
  <threadedComment ref="G45" dT="2026-03-29T11:38:18.66" personId="{7FD61748-F038-45B1-9899-69BB21F019A2}" id="{B17109B2-4FCD-4730-9A42-C4B49AF3C261}">
    <text>All golden cells from Fan2020a</text>
  </threadedComment>
  <threadedComment ref="I45" dT="2026-03-29T11:37:46.84" personId="{7FD61748-F038-45B1-9899-69BB21F019A2}" id="{641C266B-6238-444B-8009-CBB606A7C228}">
    <text>All from Dorn2025</text>
  </threadedComment>
  <threadedComment ref="K45" dT="2026-01-15T08:45:54.47" personId="{7FD61748-F038-45B1-9899-69BB21F019A2}" id="{940661C2-1A2F-43B2-826A-A70A20B09851}">
    <text>From OBrien2024</text>
  </threadedComment>
  <threadedComment ref="M45" dT="2026-03-29T11:37:46.84" personId="{7FD61748-F038-45B1-9899-69BB21F019A2}" id="{DCEB98A6-5F58-4783-B998-F11F25AD5E5E}">
    <text>All from Dorn2025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M5" dT="2026-01-16T09:05:19.26" personId="{7FD61748-F038-45B1-9899-69BB21F019A2}" id="{A6B6B2E3-D488-48B3-86AE-02F30716032B}">
    <text>Catholyte gas continuously supplied, while anolyte is recirculated and replenished every 24 hours</text>
  </threadedComment>
  <threadedComment ref="H6" dT="2026-01-14T07:57:51.79" personId="{7FD61748-F038-45B1-9899-69BB21F019A2}" id="{165EFFD9-D5AF-4586-AD1D-D6697DFE9B94}">
    <text>CO2 delivered at 20 mL/min to cathode department</text>
  </threadedComment>
  <threadedComment ref="I6" dT="2026-01-14T09:06:47.98" personId="{7FD61748-F038-45B1-9899-69BB21F019A2}" id="{93F03ED5-E9EA-47A8-BEFE-0D5BCDF1EBBD}">
    <text>Flow rate 50 mL/min</text>
  </threadedComment>
  <threadedComment ref="J6" dT="2026-01-14T11:43:59.48" personId="{7FD61748-F038-45B1-9899-69BB21F019A2}" id="{0FDBC0E7-1ED9-4626-ACD6-813FC72067AF}">
    <text>28.5 mL/min CO + 1.5 mL/min N2</text>
  </threadedComment>
  <threadedComment ref="L6" dT="2026-01-15T08:24:07.41" personId="{7FD61748-F038-45B1-9899-69BB21F019A2}" id="{C2D9EC70-6612-4585-8C2E-008B11C11F6A}">
    <text>30 SCCM of CO</text>
  </threadedComment>
  <threadedComment ref="M6" dT="2026-01-16T09:05:37.57" personId="{7FD61748-F038-45B1-9899-69BB21F019A2}" id="{1F6D3A95-D4E1-4763-BD45-E3C684728A0D}">
    <text>Flow rate 10 SCCM at 15.5 psia</text>
  </threadedComment>
  <threadedComment ref="H7" dT="2026-01-13T15:34:56.60" personId="{7FD61748-F038-45B1-9899-69BB21F019A2}" id="{5EDA63C5-5035-4CDF-86F4-7DEE27923BE7}">
    <text>Both anolyte and catholyte at fixed flowrate of 20 mL/min</text>
  </threadedComment>
  <threadedComment ref="I7" dT="2026-01-14T09:06:13.73" personId="{7FD61748-F038-45B1-9899-69BB21F019A2}" id="{72ED352C-8843-42B6-BB8A-2657F15D2B65}">
    <text>Flowrate 10 mL/min</text>
  </threadedComment>
  <threadedComment ref="J7" dT="2026-01-14T12:55:36.47" personId="{7FD61748-F038-45B1-9899-69BB21F019A2}" id="{469CE88F-4557-49D9-AA14-6BEFE3578296}">
    <text>5 mL/min</text>
  </threadedComment>
  <threadedComment ref="L7" dT="2026-01-15T10:23:19.30" personId="{7FD61748-F038-45B1-9899-69BB21F019A2}" id="{AEFEACAD-8015-4210-A44F-172DB7295FFC}">
    <text>Flow rate of 1M KOH: 0.5 mL/min, again using density of 1.042 kg/L</text>
  </threadedComment>
  <threadedComment ref="M7" dT="2026-01-16T09:20:17.07" personId="{7FD61748-F038-45B1-9899-69BB21F019A2}" id="{EA79C00D-5E30-4F71-983A-900642DCFAE6}">
    <text>40 mL of catholyte recirculated for 24 hours achieving 1.93 M acetate concentration</text>
  </threadedComment>
  <threadedComment ref="F10" dT="2026-01-13T09:15:22.84" personId="{7FD61748-F038-45B1-9899-69BB21F019A2}" id="{ED005F36-5210-4291-8C90-E77455A5FA66}">
    <text>Assumption since paper only states non-iR compensated cathodic potential vs RHE</text>
  </threadedComment>
  <threadedComment ref="H10" dT="2026-01-14T13:23:33.45" personId="{7FD61748-F038-45B1-9899-69BB21F019A2}" id="{9BFAB8A3-1852-406D-9530-B5CF0997DAC3}">
    <text>Assumption</text>
  </threadedComment>
  <threadedComment ref="M12" dT="2026-01-16T09:35:14.28" personId="{7FD61748-F038-45B1-9899-69BB21F019A2}" id="{A50AB10B-C1A4-4332-84E4-F5B5ACA44680}">
    <text>From source data of Fig1</text>
  </threadedComment>
  <threadedComment ref="C13" dT="2025-12-19T10:30:25.98" personId="{7FD61748-F038-45B1-9899-69BB21F019A2}" id="{A1F7FC22-B801-46DB-9613-FA662603086B}">
    <text>SPC of CO from SI</text>
  </threadedComment>
  <threadedComment ref="F13" dT="2026-01-13T09:18:27.07" personId="{7FD61748-F038-45B1-9899-69BB21F019A2}" id="{C2BC53B7-D10E-4F5C-82BF-910FE4CE869F}">
    <text>20 sccm of CO2 flow given for 1 cm2 cathode at production rate of 1.80 mmol/cm2 / h</text>
  </threadedComment>
  <threadedComment ref="G13" dT="2026-01-13T13:06:15.20" personId="{7FD61748-F038-45B1-9899-69BB21F019A2}" id="{D0599A7A-ABD5-439F-B885-4D3D7C8D6325}">
    <text>Infos mostly from Fig2 and SI Fig1: 4.2 wt% EtOH and 1.8wt% PrOH in Cathode outlet, see also SI Tab12 for other concentrations, but interpolation of results will be tricky without major assumptions</text>
  </threadedComment>
  <threadedComment ref="A14" dT="2026-01-13T13:04:05.70" personId="{7FD61748-F038-45B1-9899-69BB21F019A2}" id="{5AFA766A-64A3-4880-BC35-D9F53F2CCB2A}">
    <text>Meaning remainder of electric energy is converted to waste heat</text>
  </threadedComment>
  <threadedComment ref="M14" dT="2026-06-17T11:30:44.84" personId="{7FD61748-F038-45B1-9899-69BB21F019A2}" id="{9D6C0640-49D1-4FCE-8565-07813D78CDEF}">
    <text>Based on old non-modified data</text>
  </threadedComment>
  <threadedComment ref="J23" dT="2026-01-14T12:51:26.15" personId="{7FD61748-F038-45B1-9899-69BB21F019A2}" id="{3E190B6B-B3FD-4732-922C-1E8A160F184B}">
    <text>FE from Fig 1d
Selectivites of CO conversion from Extended Data Fig 4:
S_CO,AA = 74.2%
S_CO,C2H4 = 16.6%
S_CO,EtOH = 6.6%
S_CO,PrOH = 2.6%</text>
  </threadedComment>
  <threadedComment ref="K23" dT="2026-01-14T13:53:53.14" personId="{7FD61748-F038-45B1-9899-69BB21F019A2}" id="{C9406CB4-D032-4F2C-80DD-CFE517E911E6}">
    <text xml:space="preserve">Selectivites of CO conversion from Extended Data Fig 4:
S_CO,AA = 60.5%
S_CO,C2H4 = 21.7%
S_CO,EtOH = 8.9%
S_CO,PrOH = 8.9%
</text>
  </threadedComment>
  <threadedComment ref="H25" dT="2026-01-14T08:02:58.19" personId="{7FD61748-F038-45B1-9899-69BB21F019A2}" id="{6665334A-34D5-4DB5-9496-2206BF5007A3}">
    <text>Production rate of EtOH: 3.87 mmol/h/cm^2, of C2+ 5.84 mmol/h/cm2</text>
  </threadedComment>
  <threadedComment ref="P30" dT="2026-04-23T13:36:43.60" personId="{7FD61748-F038-45B1-9899-69BB21F019A2}" id="{1DE3ECC3-5BB4-4E4E-BEB5-115F61762119}">
    <text>Rescaled to 100%</text>
  </threadedComment>
  <threadedComment ref="C33" dT="2026-01-15T13:30:53.49" personId="{7FD61748-F038-45B1-9899-69BB21F019A2}" id="{5AAC3AF1-EE4A-44CC-BD68-9261898DE556}">
    <text>SI states: 14617 kg/h of CO outlet flow with 0.061389 kg/s of Ethylene outlet flow and 0.039065 kg/s H2 outlet flow</text>
  </threadedComment>
  <threadedComment ref="C47" dT="2025-12-18T16:14:36.34" personId="{7FD61748-F038-45B1-9899-69BB21F019A2}" id="{65D4621F-59AE-4E89-9325-976DE34A476F}">
    <text>30 SCCM of CO</text>
  </threadedComment>
  <threadedComment ref="J47" dT="2025-12-18T16:14:36.34" personId="{7FD61748-F038-45B1-9899-69BB21F019A2}" id="{A1E24734-4A83-4731-9BD1-15FB57775D49}">
    <text>28.5 SCCM of CO</text>
  </threadedComment>
  <threadedComment ref="L47" dT="2026-01-15T13:50:25.15" personId="{7FD61748-F038-45B1-9899-69BB21F019A2}" id="{EE3EFA15-C19E-4081-9C5E-16E672F06222}">
    <text>30 SCCM of CO</text>
  </threadedComment>
  <threadedComment ref="M47" dT="2026-01-15T13:50:25.15" personId="{7FD61748-F038-45B1-9899-69BB21F019A2}" id="{952EC6CB-27A8-47E8-AFF2-CA0692B057EC}">
    <text>10 SCCM of CO</text>
  </threadedComment>
  <threadedComment ref="C64" dT="2025-12-18T15:52:56.92" personId="{7FD61748-F038-45B1-9899-69BB21F019A2}" id="{1A549C01-8E10-47C2-B54C-B25E16287CA3}">
    <text>Based on 4 mL/min DI water anolyte inlet flow</text>
  </threadedComment>
  <threadedComment ref="J64" dT="2026-01-14T14:18:28.80" personId="{7FD61748-F038-45B1-9899-69BB21F019A2}" id="{A2FDB2E9-F337-4BE3-A033-37DDF18F68A1}">
    <text>5 mL/min of 1M KOH with density 1.042 kg/L</text>
  </threadedComment>
  <threadedComment ref="L64" dT="2026-01-14T14:18:28.80" personId="{7FD61748-F038-45B1-9899-69BB21F019A2}" id="{EFBC80FC-8E45-4B9A-9367-F4A8CD45BA50}">
    <text>0.5 mL/min of 1M KOH with density 1.042 kg/L</text>
  </threadedComment>
  <threadedComment ref="M64" dT="2026-01-16T15:23:06.15" personId="{7FD61748-F038-45B1-9899-69BB21F019A2}" id="{99524B1B-79A9-46B3-A012-884976CB96C4}">
    <text>40 mL of 3M KOH solution (density 1.13 kg/L) circulated for 24 hours</text>
  </threadedComment>
  <threadedComment ref="C71" dT="2025-12-18T15:49:35.84" personId="{7FD61748-F038-45B1-9899-69BB21F019A2}" id="{A39993CB-A467-491B-AE2D-43BB36E38918}">
    <text>Based on 0.77M AA in outlet with mixture density 1.05 kg/L as stated in SI</text>
  </threadedComment>
  <threadedComment ref="C81" dT="2025-12-18T15:52:56.92" personId="{7FD61748-F038-45B1-9899-69BB21F019A2}" id="{216E3B65-9DD2-4DCE-A640-F0A34F93EE07}">
    <text>Based on 50 mL/h DI water inlet flow</text>
  </threadedComment>
  <threadedComment ref="M86" dT="2026-01-20T08:48:56.26" personId="{7FD61748-F038-45B1-9899-69BB21F019A2}" id="{44DA865A-7F4D-460E-9AB2-6D1397788888}">
    <text>Pure acetate, not acetic acid</text>
  </threadedComment>
  <threadedComment ref="M91" dT="2026-01-20T08:49:26.17" personId="{7FD61748-F038-45B1-9899-69BB21F019A2}" id="{DE3D0371-A13F-49DA-B506-0AE19A037DEC}">
    <text>Pure propionate, not propionic acid</text>
  </threadedComment>
  <threadedComment ref="C92" dT="2025-12-18T15:51:52.46" personId="{7FD61748-F038-45B1-9899-69BB21F019A2}" id="{457864D5-F32C-40AA-A0BE-43E9D9716EFF}">
    <text>Stated in main report, that relative purity of AA in center compartment &gt;90wt%, rest is alcohols dragged along by concentration gradient and electroosmotic drag</text>
  </threadedComment>
  <threadedComment ref="C98" dT="2025-12-18T15:52:56.92" personId="{7FD61748-F038-45B1-9899-69BB21F019A2}" id="{BAFF101E-EBEA-4B59-A1C8-F0C3AA21D1F7}">
    <text>Based on 4 mL/min DI water anolyte inlet flow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5" dT="2025-12-19T11:07:42.98" personId="{7FD61748-F038-45B1-9899-69BB21F019A2}" id="{4FEC9CB8-B2BD-4AA9-8571-8592A1A01036}">
    <text>Based on SI: CO consumption of 93255.6 kg/day at current 16241553 A</text>
  </threadedComment>
  <threadedComment ref="E44" dT="2026-01-19T16:45:20.29" personId="{7FD61748-F038-45B1-9899-69BB21F019A2}" id="{5ECB1F1F-93C6-43EE-B5CE-5C938FDB2B56}">
    <text>Propionate</text>
  </threadedComment>
  <threadedComment ref="C46" dT="2026-01-19T09:07:47.00" personId="{7FD61748-F038-45B1-9899-69BB21F019A2}" id="{C92256AA-BAD7-418A-A9C8-0A55C8AB1656}">
    <text>Might be wrong</text>
  </threadedComment>
  <threadedComment ref="E60" dT="2026-01-20T08:31:21.05" personId="{7FD61748-F038-45B1-9899-69BB21F019A2}" id="{517172E5-9A41-4132-9A7B-C0BA9A372EB0}">
    <text>Propionate</text>
  </threadedComment>
  <threadedComment ref="E67" dT="2026-01-19T16:49:05.45" personId="{7FD61748-F038-45B1-9899-69BB21F019A2}" id="{1945251C-3FF8-4AF8-B93F-06FFDDF0C4EC}">
    <text>K+ inlet flow</text>
  </threadedComment>
  <threadedComment ref="E74" dT="2026-01-19T16:46:36.88" personId="{7FD61748-F038-45B1-9899-69BB21F019A2}" id="{FA5641BE-58BE-4979-9DED-DD5A4FB67B02}">
    <text>Liquid anodic outlet (without oxygen) [kg/s]</text>
  </threadedComment>
  <threadedComment ref="E95" dT="2026-02-13T10:01:17.21" personId="{7FD61748-F038-45B1-9899-69BB21F019A2}" id="{C99FC98E-984E-4DFC-A47B-9B925BBA75F6}">
    <text>Meaning solution is semi-concentrated (being &lt; 6 molal) according to Prausnitz1998 p. 565, thus most models are expected to be reasonably succesful</text>
  </threadedComment>
  <threadedComment ref="E98" dT="2026-01-20T10:19:13.39" personId="{7FD61748-F038-45B1-9899-69BB21F019A2}" id="{12185935-FDB6-45D6-A829-D6BB3C14D6B4}">
    <text>Based on SI Table 8 with 2M AA flow and „scale-up factor“ 2.988 (SI production capacity of AA: 50 t/d, my production capacity 150 t/d)</text>
  </threadedComment>
  <threadedComment ref="E118" dT="2026-01-26T09:16:34.63" personId="{7FD61748-F038-45B1-9899-69BB21F019A2}" id="{0831E340-FAC4-4C97-8972-B3D014700C80}">
    <text>Based on energy demand of 2500 kWh/ton or produced NaOH</text>
  </threadedComment>
  <threadedComment ref="E119" dT="2026-01-26T09:00:15.32" personId="{7FD61748-F038-45B1-9899-69BB21F019A2}" id="{A3CAA64F-6725-44DB-B16D-BBE36E38D7DF}">
    <text>Assuming same energy consumption for KOH production as for NaOH production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K19" dT="2026-06-15T12:07:19.44" personId="{7FD61748-F038-45B1-9899-69BB21F019A2}" id="{6E0A44B7-E037-48DE-BE2A-6CA5B3642C18}">
    <text>All shell masses based on Towler2021 equation 14.32 with density 7900 for CS and 8000 for SS</text>
  </threadedComment>
  <threadedComment ref="F41" dT="2026-04-12T22:11:26.66" personId="{7FD61748-F038-45B1-9899-69BB21F019A2}" id="{0C4CA969-0CCD-416F-99DA-1248FFCE1B7A}">
    <text>Having HP-steam at 251 °C with last effect leaving at 105 °C, using BPR of 32 K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C4" dT="2026-04-15T14:37:37.54" personId="{7FD61748-F038-45B1-9899-69BB21F019A2}" id="{BEC6482D-F0B8-4DB6-ADC0-C768C1CB971A}">
    <text>w/o gas separation</text>
  </threadedComment>
  <threadedComment ref="B7" dT="2026-04-13T10:14:46.31" personId="{7FD61748-F038-45B1-9899-69BB21F019A2}" id="{F252FBD3-0171-431D-B421-9FACB2272501}">
    <text>Same as Fixed Captial Investment</text>
  </threadedComment>
  <threadedComment ref="B8" dT="2026-04-13T10:14:46.31" personId="{7FD61748-F038-45B1-9899-69BB21F019A2}" id="{86CC9074-CABF-4B91-9727-53381A3FE9D8}">
    <text>Same as Fixed Captial Investment</text>
  </threadedComment>
  <threadedComment ref="D14" dT="2026-06-08T21:15:34.70" personId="{7FD61748-F038-45B1-9899-69BB21F019A2}" id="{FB164E3D-46A8-49E4-B4CE-E593BB457A2C}">
    <text>Fixed error where fraction was the wrong way around</text>
  </threadedComment>
  <threadedComment ref="F14" dT="2026-04-10T08:12:14.46" personId="{7FD61748-F038-45B1-9899-69BB21F019A2}" id="{664CC3C5-F26A-43DC-B51D-4D6F356C4534}">
    <text>Based on 0.6 thumb rule with total gas feed flow rates, using the cost for ethylene and hydrogen recovery</text>
  </threadedComment>
  <threadedComment ref="G20" dT="2026-04-10T08:15:29.82" personId="{7FD61748-F038-45B1-9899-69BB21F019A2}" id="{839837CE-EFF6-4D99-A8C9-688314788C97}">
    <text>Using linear scaling of OPEX based on gas feed flow rates</text>
  </threadedComment>
  <threadedComment ref="I49" dT="2026-04-15T15:40:01.50" personId="{7FD61748-F038-45B1-9899-69BB21F019A2}" id="{D1B4A3C6-AAF0-409A-81A7-5EF31CFE1A65}">
    <text xml:space="preserve"> (https://businessanalytiq.com/index/) for western Europe</text>
    <extLst>
      <x:ext xmlns:xltc2="http://schemas.microsoft.com/office/spreadsheetml/2020/threadedcomments2" uri="{F7C98A9C-CBB3-438F-8F68-D28B6AF4A901}">
        <xltc2:checksum>1381992724</xltc2:checksum>
        <xltc2:hyperlink startIndex="2" length="35" url="https://businessanalytiq.com/index/"/>
      </x:ext>
    </extLs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D17" dT="2026-02-14T13:48:44.25" personId="{7FD61748-F038-45B1-9899-69BB21F019A2}" id="{EBC1FE4F-11AF-4C89-A2B7-C8BF29172FB3}">
    <text>Membrane costs slightly more optimistic than Ramdin2019</text>
  </threadedComment>
  <threadedComment ref="D20" dT="2026-02-14T13:54:21.24" personId="{7FD61748-F038-45B1-9899-69BB21F019A2}" id="{4FACA161-1E26-48E3-BF52-FBFC62F43946}">
    <text>Optimistic value from Ramdin2019, but pessimistic from Sabatino2022 (there most often &gt;200 mA/cm^2)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C5" dT="2026-06-18T13:11:29.81" personId="{7FD61748-F038-45B1-9899-69BB21F019A2}" id="{5F80091B-65B9-41E7-9EE8-FD7E2C5A46CE}">
    <text>Excluding MVR-COMP, ST-EV-CO, HP-COMPR</text>
  </threadedComment>
  <threadedComment ref="C12" dT="2026-06-18T13:11:29.81" personId="{7FD61748-F038-45B1-9899-69BB21F019A2}" id="{93DA2368-6A76-48D9-A99B-A061E5A61D46}">
    <text>Excluding MVR-COMP, ST-EV-CO, HP-COMPR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ernment.nl/topics/taxation-and-businesses/corporation-tax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7.xml"/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"/>
  <sheetViews>
    <sheetView tabSelected="1" zoomScale="55" zoomScaleNormal="55" workbookViewId="0">
      <selection activeCell="U24" sqref="U24"/>
    </sheetView>
  </sheetViews>
  <sheetFormatPr defaultRowHeight="14.5" x14ac:dyDescent="0.35"/>
  <cols>
    <col min="1" max="1" width="27.1796875" customWidth="1"/>
    <col min="2" max="3" width="32.453125" customWidth="1"/>
    <col min="4" max="4" width="14.81640625" customWidth="1"/>
    <col min="6" max="6" width="12.7265625" customWidth="1"/>
    <col min="7" max="7" width="14.08984375" customWidth="1"/>
    <col min="8" max="8" width="13" customWidth="1"/>
    <col min="9" max="9" width="11.6328125" bestFit="1" customWidth="1"/>
    <col min="11" max="11" width="14.08984375" customWidth="1"/>
    <col min="12" max="12" width="12.6328125" customWidth="1"/>
    <col min="13" max="13" width="11.81640625" bestFit="1" customWidth="1"/>
    <col min="16" max="16" width="15" customWidth="1"/>
    <col min="17" max="17" width="16.81640625" customWidth="1"/>
  </cols>
  <sheetData>
    <row r="1" spans="1:20" x14ac:dyDescent="0.35">
      <c r="A1" s="1" t="s">
        <v>0</v>
      </c>
      <c r="B1" t="s">
        <v>1</v>
      </c>
      <c r="C1" s="10">
        <v>96485.33</v>
      </c>
      <c r="D1" t="s">
        <v>2</v>
      </c>
      <c r="H1" s="1" t="s">
        <v>642</v>
      </c>
      <c r="Q1" s="1" t="s">
        <v>7</v>
      </c>
      <c r="R1" t="s">
        <v>8</v>
      </c>
      <c r="S1" t="s">
        <v>9</v>
      </c>
      <c r="T1" t="s">
        <v>10</v>
      </c>
    </row>
    <row r="2" spans="1:20" ht="16.5" x14ac:dyDescent="0.45">
      <c r="B2" t="s">
        <v>3</v>
      </c>
      <c r="C2" s="10">
        <v>6.0221408599999999E+23</v>
      </c>
      <c r="D2" t="s">
        <v>4</v>
      </c>
      <c r="H2" t="s">
        <v>643</v>
      </c>
      <c r="Q2" t="s">
        <v>14</v>
      </c>
      <c r="R2" t="s">
        <v>15</v>
      </c>
      <c r="S2" t="s">
        <v>16</v>
      </c>
    </row>
    <row r="3" spans="1:20" x14ac:dyDescent="0.35">
      <c r="B3" t="s">
        <v>5</v>
      </c>
      <c r="C3" s="10">
        <f>C1/C2</f>
        <v>1.6021765721368397E-19</v>
      </c>
      <c r="D3" t="s">
        <v>6</v>
      </c>
      <c r="H3" t="s">
        <v>556</v>
      </c>
      <c r="Q3" t="s">
        <v>20</v>
      </c>
      <c r="R3">
        <v>1.23</v>
      </c>
      <c r="S3" t="s">
        <v>21</v>
      </c>
    </row>
    <row r="4" spans="1:20" x14ac:dyDescent="0.35">
      <c r="H4" t="s">
        <v>575</v>
      </c>
      <c r="K4" s="167"/>
      <c r="L4" s="167"/>
      <c r="M4" s="1"/>
      <c r="Q4" t="s">
        <v>24</v>
      </c>
      <c r="R4">
        <v>14</v>
      </c>
      <c r="S4" t="s">
        <v>25</v>
      </c>
    </row>
    <row r="5" spans="1:20" x14ac:dyDescent="0.35">
      <c r="B5" t="s">
        <v>8</v>
      </c>
      <c r="C5" t="s">
        <v>9</v>
      </c>
      <c r="D5" t="s">
        <v>10</v>
      </c>
      <c r="E5" t="s">
        <v>11</v>
      </c>
      <c r="F5" t="s">
        <v>12</v>
      </c>
      <c r="H5" t="s">
        <v>639</v>
      </c>
      <c r="Q5" t="s">
        <v>28</v>
      </c>
      <c r="R5">
        <v>3.5</v>
      </c>
      <c r="S5" t="s">
        <v>29</v>
      </c>
    </row>
    <row r="6" spans="1:20" ht="16.5" x14ac:dyDescent="0.45">
      <c r="A6" s="1" t="s">
        <v>17</v>
      </c>
      <c r="B6" t="s">
        <v>18</v>
      </c>
      <c r="C6" s="2">
        <v>100</v>
      </c>
      <c r="D6" t="s">
        <v>19</v>
      </c>
    </row>
    <row r="7" spans="1:20" ht="16.5" x14ac:dyDescent="0.45">
      <c r="A7" s="1"/>
      <c r="B7" t="s">
        <v>775</v>
      </c>
      <c r="C7" s="3">
        <v>0.23</v>
      </c>
      <c r="D7" t="s">
        <v>227</v>
      </c>
      <c r="E7" t="s">
        <v>537</v>
      </c>
      <c r="F7" t="s">
        <v>776</v>
      </c>
      <c r="H7" t="s">
        <v>643</v>
      </c>
    </row>
    <row r="8" spans="1:20" x14ac:dyDescent="0.35">
      <c r="B8" t="s">
        <v>22</v>
      </c>
      <c r="C8">
        <v>8000</v>
      </c>
      <c r="D8" t="s">
        <v>23</v>
      </c>
      <c r="H8" t="s">
        <v>809</v>
      </c>
    </row>
    <row r="9" spans="1:20" x14ac:dyDescent="0.35">
      <c r="B9" t="s">
        <v>26</v>
      </c>
      <c r="C9">
        <v>20</v>
      </c>
      <c r="D9" t="s">
        <v>27</v>
      </c>
      <c r="H9" t="s">
        <v>556</v>
      </c>
    </row>
    <row r="10" spans="1:20" x14ac:dyDescent="0.35">
      <c r="B10" t="s">
        <v>30</v>
      </c>
      <c r="C10" s="3">
        <v>0.1</v>
      </c>
      <c r="D10" t="s">
        <v>31</v>
      </c>
      <c r="H10" t="s">
        <v>639</v>
      </c>
    </row>
    <row r="11" spans="1:20" x14ac:dyDescent="0.35">
      <c r="B11" t="s">
        <v>727</v>
      </c>
      <c r="C11" t="s">
        <v>841</v>
      </c>
      <c r="E11" s="148" t="s">
        <v>32</v>
      </c>
      <c r="F11" t="s">
        <v>33</v>
      </c>
    </row>
    <row r="12" spans="1:20" x14ac:dyDescent="0.35">
      <c r="B12" t="s">
        <v>728</v>
      </c>
      <c r="C12" s="108">
        <v>0.25</v>
      </c>
      <c r="D12" t="s">
        <v>31</v>
      </c>
    </row>
    <row r="13" spans="1:20" x14ac:dyDescent="0.35">
      <c r="B13" t="s">
        <v>729</v>
      </c>
      <c r="C13" s="3">
        <v>0.1</v>
      </c>
      <c r="D13" t="s">
        <v>730</v>
      </c>
    </row>
    <row r="14" spans="1:20" x14ac:dyDescent="0.35">
      <c r="B14" t="s">
        <v>34</v>
      </c>
      <c r="C14">
        <v>1.1692358</v>
      </c>
      <c r="D14" t="s">
        <v>35</v>
      </c>
      <c r="F14" t="s">
        <v>726</v>
      </c>
    </row>
    <row r="15" spans="1:20" x14ac:dyDescent="0.35">
      <c r="B15" t="s">
        <v>344</v>
      </c>
      <c r="C15">
        <v>389.5</v>
      </c>
    </row>
    <row r="16" spans="1:20" x14ac:dyDescent="0.35">
      <c r="B16" t="s">
        <v>529</v>
      </c>
      <c r="C16">
        <v>532.9</v>
      </c>
    </row>
    <row r="17" spans="1:8" x14ac:dyDescent="0.35">
      <c r="B17" t="s">
        <v>760</v>
      </c>
      <c r="C17">
        <v>567.4</v>
      </c>
    </row>
    <row r="18" spans="1:8" x14ac:dyDescent="0.35">
      <c r="B18" t="s">
        <v>339</v>
      </c>
      <c r="C18">
        <v>607.5</v>
      </c>
    </row>
    <row r="19" spans="1:8" x14ac:dyDescent="0.35">
      <c r="B19" t="s">
        <v>36</v>
      </c>
      <c r="C19">
        <v>786.9</v>
      </c>
      <c r="E19" t="s">
        <v>37</v>
      </c>
    </row>
    <row r="20" spans="1:8" x14ac:dyDescent="0.35">
      <c r="C20">
        <f>59250*C14</f>
        <v>69277.221149999998</v>
      </c>
      <c r="D20">
        <f>395000*C14</f>
        <v>461848.141</v>
      </c>
    </row>
    <row r="21" spans="1:8" x14ac:dyDescent="0.35">
      <c r="A21" s="1" t="s">
        <v>38</v>
      </c>
    </row>
    <row r="22" spans="1:8" x14ac:dyDescent="0.35">
      <c r="B22" t="s">
        <v>39</v>
      </c>
      <c r="C22" s="10">
        <v>2</v>
      </c>
      <c r="D22" t="s">
        <v>29</v>
      </c>
      <c r="E22" t="s">
        <v>267</v>
      </c>
    </row>
    <row r="23" spans="1:8" ht="16.5" x14ac:dyDescent="0.35">
      <c r="B23" t="s">
        <v>40</v>
      </c>
      <c r="C23" s="10">
        <f>3000</f>
        <v>3000</v>
      </c>
      <c r="D23" t="s">
        <v>41</v>
      </c>
      <c r="E23" t="s">
        <v>267</v>
      </c>
    </row>
    <row r="24" spans="1:8" x14ac:dyDescent="0.35">
      <c r="B24" t="s">
        <v>42</v>
      </c>
      <c r="C24" s="3">
        <v>1</v>
      </c>
      <c r="D24" t="s">
        <v>31</v>
      </c>
      <c r="E24" t="s">
        <v>268</v>
      </c>
    </row>
    <row r="25" spans="1:8" x14ac:dyDescent="0.35">
      <c r="B25" t="s">
        <v>43</v>
      </c>
      <c r="C25" s="7">
        <f>ABS(I47)/C22</f>
        <v>0.7332461836426325</v>
      </c>
      <c r="D25" t="s">
        <v>31</v>
      </c>
    </row>
    <row r="26" spans="1:8" x14ac:dyDescent="0.35">
      <c r="B26" t="s">
        <v>353</v>
      </c>
      <c r="C26" s="3">
        <v>0.5</v>
      </c>
      <c r="D26" t="s">
        <v>31</v>
      </c>
      <c r="E26" t="s">
        <v>352</v>
      </c>
    </row>
    <row r="27" spans="1:8" x14ac:dyDescent="0.35">
      <c r="B27" t="s">
        <v>44</v>
      </c>
      <c r="C27" s="10">
        <f>6*'Base operation parameters'!D47/0.022414*3600/1000</f>
        <v>26.992868742750069</v>
      </c>
      <c r="D27" t="s">
        <v>45</v>
      </c>
      <c r="E27" t="s">
        <v>237</v>
      </c>
    </row>
    <row r="28" spans="1:8" x14ac:dyDescent="0.35">
      <c r="B28" t="s">
        <v>46</v>
      </c>
      <c r="C28" s="10">
        <f>C23/1000*C22/(C24*C23/1000/(E47*C1)*D47)*0.000001</f>
        <v>13.778648416107046</v>
      </c>
      <c r="D28" t="s">
        <v>45</v>
      </c>
    </row>
    <row r="29" spans="1:8" x14ac:dyDescent="0.35">
      <c r="B29" t="s">
        <v>47</v>
      </c>
      <c r="C29" s="10">
        <v>800</v>
      </c>
      <c r="D29" t="s">
        <v>804</v>
      </c>
      <c r="E29" t="s">
        <v>267</v>
      </c>
      <c r="G29" t="s">
        <v>807</v>
      </c>
      <c r="H29">
        <f>C29/(Electrolyzer!E16)*Electrolyzer!E14*1000</f>
        <v>47999.999999999993</v>
      </c>
    </row>
    <row r="30" spans="1:8" x14ac:dyDescent="0.35">
      <c r="B30" t="s">
        <v>48</v>
      </c>
      <c r="C30" s="3">
        <v>0.7</v>
      </c>
      <c r="D30" t="s">
        <v>49</v>
      </c>
      <c r="E30" t="s">
        <v>267</v>
      </c>
      <c r="H30" s="10">
        <f>H29*Electrolyzer!E16</f>
        <v>24359722.837619655</v>
      </c>
    </row>
    <row r="32" spans="1:8" ht="16.5" x14ac:dyDescent="0.45">
      <c r="A32" s="1" t="s">
        <v>50</v>
      </c>
      <c r="B32" t="s">
        <v>51</v>
      </c>
      <c r="C32">
        <v>0.05</v>
      </c>
      <c r="D32" t="s">
        <v>52</v>
      </c>
      <c r="E32" t="s">
        <v>53</v>
      </c>
    </row>
    <row r="33" spans="1:16" x14ac:dyDescent="0.35">
      <c r="A33" s="1"/>
      <c r="B33" t="s">
        <v>591</v>
      </c>
      <c r="C33">
        <v>6</v>
      </c>
      <c r="D33" t="s">
        <v>590</v>
      </c>
      <c r="E33" t="s">
        <v>539</v>
      </c>
      <c r="G33">
        <f>C33/277.78</f>
        <v>2.1599827201382392E-2</v>
      </c>
      <c r="H33">
        <f>$C$32/G33</f>
        <v>2.3148333333333331</v>
      </c>
    </row>
    <row r="34" spans="1:16" x14ac:dyDescent="0.35">
      <c r="A34" s="1"/>
      <c r="B34" t="s">
        <v>592</v>
      </c>
      <c r="C34">
        <v>8</v>
      </c>
      <c r="D34" t="s">
        <v>590</v>
      </c>
      <c r="E34" t="s">
        <v>539</v>
      </c>
      <c r="G34">
        <f t="shared" ref="G34:G35" si="0">C34/277.78</f>
        <v>2.8799769601843189E-2</v>
      </c>
      <c r="H34">
        <f t="shared" ref="H34:H35" si="1">$C$32/G34</f>
        <v>1.7361249999999999</v>
      </c>
    </row>
    <row r="35" spans="1:16" x14ac:dyDescent="0.35">
      <c r="A35" s="1"/>
      <c r="B35" t="s">
        <v>593</v>
      </c>
      <c r="C35">
        <v>9</v>
      </c>
      <c r="D35" t="s">
        <v>590</v>
      </c>
      <c r="E35" t="s">
        <v>539</v>
      </c>
      <c r="G35">
        <f t="shared" si="0"/>
        <v>3.2399740802073584E-2</v>
      </c>
      <c r="H35">
        <f t="shared" si="1"/>
        <v>1.5432222222222223</v>
      </c>
    </row>
    <row r="36" spans="1:16" x14ac:dyDescent="0.35">
      <c r="B36" t="s">
        <v>634</v>
      </c>
      <c r="C36">
        <v>1.5</v>
      </c>
      <c r="D36" t="s">
        <v>590</v>
      </c>
      <c r="E36" t="s">
        <v>539</v>
      </c>
    </row>
    <row r="37" spans="1:16" x14ac:dyDescent="0.35">
      <c r="B37" t="s">
        <v>635</v>
      </c>
      <c r="C37">
        <v>4.5</v>
      </c>
      <c r="D37" t="s">
        <v>590</v>
      </c>
      <c r="E37" t="s">
        <v>636</v>
      </c>
    </row>
    <row r="38" spans="1:16" x14ac:dyDescent="0.35">
      <c r="B38" t="s">
        <v>845</v>
      </c>
      <c r="C38">
        <v>8</v>
      </c>
      <c r="D38" t="s">
        <v>590</v>
      </c>
      <c r="E38" t="s">
        <v>539</v>
      </c>
    </row>
    <row r="39" spans="1:16" x14ac:dyDescent="0.35">
      <c r="B39" t="s">
        <v>54</v>
      </c>
      <c r="C39" s="7">
        <v>2.5000000000000001E-2</v>
      </c>
      <c r="D39" t="s">
        <v>55</v>
      </c>
      <c r="E39" t="s">
        <v>56</v>
      </c>
    </row>
    <row r="41" spans="1:16" ht="17.5" x14ac:dyDescent="0.45">
      <c r="A41" s="1" t="s">
        <v>57</v>
      </c>
      <c r="B41" t="s">
        <v>58</v>
      </c>
      <c r="C41">
        <v>1500</v>
      </c>
      <c r="D41" t="s">
        <v>59</v>
      </c>
      <c r="E41" t="s">
        <v>53</v>
      </c>
      <c r="F41" t="s">
        <v>60</v>
      </c>
    </row>
    <row r="44" spans="1:16" ht="16.5" x14ac:dyDescent="0.45">
      <c r="A44" s="1" t="s">
        <v>61</v>
      </c>
      <c r="E44" s="168" t="s">
        <v>62</v>
      </c>
      <c r="F44" s="169"/>
      <c r="G44" s="169"/>
      <c r="J44" s="168" t="s">
        <v>63</v>
      </c>
      <c r="K44" s="169"/>
      <c r="L44" s="169"/>
      <c r="M44" s="169"/>
    </row>
    <row r="45" spans="1:16" ht="17.5" x14ac:dyDescent="0.45">
      <c r="B45" t="s">
        <v>64</v>
      </c>
      <c r="D45" t="s">
        <v>65</v>
      </c>
      <c r="E45" s="20" t="s">
        <v>66</v>
      </c>
      <c r="F45" t="s">
        <v>361</v>
      </c>
      <c r="G45" s="6" t="s">
        <v>67</v>
      </c>
      <c r="H45" t="s">
        <v>356</v>
      </c>
      <c r="I45" t="s">
        <v>357</v>
      </c>
      <c r="J45" s="20" t="s">
        <v>66</v>
      </c>
      <c r="K45" t="s">
        <v>68</v>
      </c>
      <c r="L45" t="s">
        <v>356</v>
      </c>
      <c r="M45" s="49" t="s">
        <v>357</v>
      </c>
      <c r="O45" s="169" t="s">
        <v>64</v>
      </c>
      <c r="P45" s="169"/>
    </row>
    <row r="46" spans="1:16" x14ac:dyDescent="0.35">
      <c r="B46" t="s">
        <v>69</v>
      </c>
      <c r="D46" t="s">
        <v>70</v>
      </c>
      <c r="E46" s="20" t="s">
        <v>16</v>
      </c>
      <c r="G46" s="6" t="s">
        <v>21</v>
      </c>
      <c r="H46" t="s">
        <v>29</v>
      </c>
      <c r="I46" t="s">
        <v>29</v>
      </c>
      <c r="J46" s="20" t="s">
        <v>16</v>
      </c>
      <c r="K46" t="s">
        <v>21</v>
      </c>
      <c r="L46" t="s">
        <v>29</v>
      </c>
      <c r="M46" s="49"/>
      <c r="O46" s="169" t="s">
        <v>69</v>
      </c>
      <c r="P46" s="169"/>
    </row>
    <row r="47" spans="1:16" x14ac:dyDescent="0.35">
      <c r="A47" t="s">
        <v>71</v>
      </c>
      <c r="B47">
        <v>0.29399999999999998</v>
      </c>
      <c r="D47" s="2">
        <v>2.80101E-2</v>
      </c>
      <c r="E47" s="20">
        <v>2</v>
      </c>
      <c r="F47">
        <v>1</v>
      </c>
      <c r="G47" s="6">
        <v>-0.104</v>
      </c>
      <c r="H47" s="46">
        <f>G47-$R$3</f>
        <v>-1.3340000000000001</v>
      </c>
      <c r="I47" s="151">
        <v>1.466492367285265</v>
      </c>
      <c r="J47" s="20"/>
      <c r="M47" s="49"/>
      <c r="O47">
        <f>$B47+$N$5/100*$B47</f>
        <v>0.29399999999999998</v>
      </c>
      <c r="P47">
        <f>$B47-$N$5/100*$B47</f>
        <v>0.29399999999999998</v>
      </c>
    </row>
    <row r="48" spans="1:16" x14ac:dyDescent="0.35">
      <c r="A48" t="s">
        <v>359</v>
      </c>
      <c r="B48">
        <v>0.48299999999999998</v>
      </c>
      <c r="D48" s="2">
        <v>4.6025400000000001E-2</v>
      </c>
      <c r="E48" s="20">
        <v>2</v>
      </c>
      <c r="F48">
        <v>1</v>
      </c>
      <c r="G48" s="6">
        <v>-0.17100000000000001</v>
      </c>
      <c r="H48" s="46">
        <f>G48-$R$3</f>
        <v>-1.401</v>
      </c>
      <c r="I48" s="151">
        <v>1.317609630396662</v>
      </c>
      <c r="J48" s="20"/>
      <c r="M48" s="49" t="e">
        <f>((E48*I48)-(F48*2*$I$47))/(E48-2*F48)</f>
        <v>#DIV/0!</v>
      </c>
      <c r="O48">
        <f>$B48+$N$5/100*$B48</f>
        <v>0.48299999999999998</v>
      </c>
      <c r="P48">
        <f>$B48-$N$5/100*$B48</f>
        <v>0.48299999999999998</v>
      </c>
    </row>
    <row r="49" spans="1:16" x14ac:dyDescent="0.35">
      <c r="A49" t="s">
        <v>358</v>
      </c>
      <c r="D49" s="2">
        <f>D48-0.5*D59</f>
        <v>4.5017460000000002E-2</v>
      </c>
      <c r="E49" s="20">
        <v>2</v>
      </c>
      <c r="F49">
        <v>1</v>
      </c>
      <c r="G49" s="6"/>
      <c r="H49" s="46"/>
      <c r="I49" s="151">
        <v>0.57700481513614543</v>
      </c>
      <c r="J49" s="20"/>
      <c r="M49" s="49" t="e">
        <f t="shared" ref="M49:M59" si="2">((E49*I49)-(F49*2*$I$47))/(E49-2*F49)</f>
        <v>#DIV/0!</v>
      </c>
    </row>
    <row r="50" spans="1:16" x14ac:dyDescent="0.35">
      <c r="A50" t="s">
        <v>73</v>
      </c>
      <c r="B50">
        <v>0.70399999999999996</v>
      </c>
      <c r="D50" s="2">
        <v>3.2041899999999998E-2</v>
      </c>
      <c r="E50" s="20">
        <v>6</v>
      </c>
      <c r="F50">
        <v>1</v>
      </c>
      <c r="G50" s="6">
        <v>1.6E-2</v>
      </c>
      <c r="H50" s="46">
        <f>G50-$R$3</f>
        <v>-1.214</v>
      </c>
      <c r="I50" s="151">
        <v>1.2535238949451348</v>
      </c>
      <c r="J50" s="20">
        <v>4</v>
      </c>
      <c r="M50" s="152">
        <f>((E50*I50)-(F50*2*$I$47))/(E50-2*F50)</f>
        <v>1.1470396587750697</v>
      </c>
      <c r="O50">
        <f>$B50+$N$5/100*$B50</f>
        <v>0.70399999999999996</v>
      </c>
      <c r="P50">
        <f>$B50-$N$5/100*$B50</f>
        <v>0.70399999999999996</v>
      </c>
    </row>
    <row r="51" spans="1:16" x14ac:dyDescent="0.35">
      <c r="A51" t="s">
        <v>74</v>
      </c>
      <c r="D51" s="2">
        <v>1.6042500000000001E-2</v>
      </c>
      <c r="E51" s="20">
        <v>8</v>
      </c>
      <c r="F51">
        <v>1</v>
      </c>
      <c r="G51" s="6">
        <v>0.16900000000000001</v>
      </c>
      <c r="H51" s="46">
        <f>G51-$R$3</f>
        <v>-1.0609999999999999</v>
      </c>
      <c r="I51" s="151">
        <v>1.1537764341998933</v>
      </c>
      <c r="J51" s="20">
        <v>6</v>
      </c>
      <c r="M51" s="152">
        <f t="shared" si="2"/>
        <v>1.0495377898381026</v>
      </c>
    </row>
    <row r="52" spans="1:16" x14ac:dyDescent="0.35">
      <c r="A52" t="s">
        <v>194</v>
      </c>
      <c r="B52">
        <v>0.499</v>
      </c>
      <c r="D52" s="2">
        <v>6.0052000000000001E-2</v>
      </c>
      <c r="E52" s="20">
        <v>8</v>
      </c>
      <c r="F52">
        <v>2</v>
      </c>
      <c r="G52" s="6">
        <v>9.8000000000000004E-2</v>
      </c>
      <c r="H52" s="46">
        <f>G52-$R$3</f>
        <v>-1.1319999999999999</v>
      </c>
      <c r="I52" s="151">
        <v>1.1338252146725309</v>
      </c>
      <c r="J52" s="20">
        <v>4</v>
      </c>
      <c r="K52">
        <v>0.45400000000000001</v>
      </c>
      <c r="L52" s="46">
        <f>K52-$R$3</f>
        <v>-0.77600000000000002</v>
      </c>
      <c r="M52" s="152">
        <f>((E52*I52)-(F52*2*$I$47))/(E52-2*F52)</f>
        <v>0.80115806205979689</v>
      </c>
      <c r="O52">
        <f>$B52+$N$5/100*$B52</f>
        <v>0.499</v>
      </c>
      <c r="P52">
        <f>$B52-$N$5/100*$B52</f>
        <v>0.499</v>
      </c>
    </row>
    <row r="53" spans="1:16" x14ac:dyDescent="0.35">
      <c r="A53" t="s">
        <v>360</v>
      </c>
      <c r="D53" s="2">
        <f>D52-0.5*D59</f>
        <v>5.9044060000000002E-2</v>
      </c>
      <c r="E53" s="20">
        <v>8</v>
      </c>
      <c r="F53">
        <v>2</v>
      </c>
      <c r="G53" s="6"/>
      <c r="H53" s="46"/>
      <c r="I53" s="151">
        <v>0.94867401085740166</v>
      </c>
      <c r="J53" s="20"/>
      <c r="L53" s="46"/>
      <c r="M53" s="152">
        <f>((E53*I53)-(F53*2*$I$47))/(E53-2*F53)</f>
        <v>0.43085565442953833</v>
      </c>
    </row>
    <row r="54" spans="1:16" x14ac:dyDescent="0.35">
      <c r="A54" t="s">
        <v>76</v>
      </c>
      <c r="B54">
        <v>1.32</v>
      </c>
      <c r="D54" s="2">
        <v>2.80532E-2</v>
      </c>
      <c r="E54" s="20">
        <v>12</v>
      </c>
      <c r="F54">
        <v>2</v>
      </c>
      <c r="G54" s="6">
        <v>8.5000000000000006E-2</v>
      </c>
      <c r="H54" s="46">
        <f>G54-$R$3</f>
        <v>-1.145</v>
      </c>
      <c r="I54" s="151">
        <v>1.2187517694831604</v>
      </c>
      <c r="J54" s="20">
        <v>8</v>
      </c>
      <c r="K54">
        <v>0.17</v>
      </c>
      <c r="L54" s="46">
        <f>K54-$R$3</f>
        <v>-1.06</v>
      </c>
      <c r="M54" s="152">
        <f>((E54*I54)-(F54*2*$I$47))/(E54-2*F54)</f>
        <v>1.0948814705821082</v>
      </c>
      <c r="O54">
        <f>$B54+$N$5/100*$B54</f>
        <v>1.32</v>
      </c>
      <c r="P54">
        <f>$B54-$N$5/100*$B54</f>
        <v>1.32</v>
      </c>
    </row>
    <row r="55" spans="1:16" x14ac:dyDescent="0.35">
      <c r="A55" t="s">
        <v>77</v>
      </c>
      <c r="B55">
        <v>0.75</v>
      </c>
      <c r="D55" s="2">
        <v>4.6068400000000002E-2</v>
      </c>
      <c r="E55" s="20">
        <v>12</v>
      </c>
      <c r="F55">
        <v>2</v>
      </c>
      <c r="G55" s="6">
        <v>8.4000000000000005E-2</v>
      </c>
      <c r="H55" s="46">
        <f>G55-$R$3</f>
        <v>-1.1459999999999999</v>
      </c>
      <c r="I55" s="151">
        <v>1.1819845220684499</v>
      </c>
      <c r="J55" s="20">
        <v>8</v>
      </c>
      <c r="K55">
        <v>0.18</v>
      </c>
      <c r="L55" s="46">
        <f>K55-$R$3</f>
        <v>-1.05</v>
      </c>
      <c r="M55" s="152">
        <f>((E55*I55)-(F55*2*$I$47))/(E55-2*F55)</f>
        <v>1.0397305994600425</v>
      </c>
      <c r="O55">
        <f>$B55+$N$5/100*$B55</f>
        <v>0.75</v>
      </c>
      <c r="P55">
        <f>$B55-$N$5/100*$B55</f>
        <v>0.75</v>
      </c>
    </row>
    <row r="56" spans="1:16" x14ac:dyDescent="0.35">
      <c r="A56" t="s">
        <v>78</v>
      </c>
      <c r="D56" s="2">
        <v>3.0068999999999999E-2</v>
      </c>
      <c r="E56" s="20">
        <v>14</v>
      </c>
      <c r="F56">
        <v>2</v>
      </c>
      <c r="G56" s="6">
        <v>0.14399999999999999</v>
      </c>
      <c r="H56" s="46">
        <f>G56-$R$3</f>
        <v>-1.0860000000000001</v>
      </c>
      <c r="I56" s="151">
        <v>1.155268148758247</v>
      </c>
      <c r="J56" s="20">
        <v>10</v>
      </c>
      <c r="L56" s="46"/>
      <c r="M56" s="152">
        <f t="shared" si="2"/>
        <v>1.03077846134744</v>
      </c>
    </row>
    <row r="57" spans="1:16" x14ac:dyDescent="0.35">
      <c r="A57" t="s">
        <v>79</v>
      </c>
      <c r="D57" s="2">
        <v>4.4052599999999997E-2</v>
      </c>
      <c r="E57" s="20"/>
      <c r="H57" s="46"/>
      <c r="I57" s="151"/>
      <c r="J57" s="20"/>
      <c r="L57" s="46"/>
      <c r="M57" s="152" t="e">
        <f t="shared" si="2"/>
        <v>#DIV/0!</v>
      </c>
    </row>
    <row r="58" spans="1:16" x14ac:dyDescent="0.35">
      <c r="A58" t="s">
        <v>80</v>
      </c>
      <c r="B58">
        <v>1.27</v>
      </c>
      <c r="D58" s="2">
        <v>6.0095000000000003E-2</v>
      </c>
      <c r="E58" s="20">
        <v>18</v>
      </c>
      <c r="F58">
        <v>3</v>
      </c>
      <c r="G58" s="6">
        <v>9.5000000000000001E-2</v>
      </c>
      <c r="H58" s="46">
        <f>G58-$R$3</f>
        <v>-1.135</v>
      </c>
      <c r="I58" s="151">
        <v>1.1638729604455587</v>
      </c>
      <c r="J58" s="20">
        <v>12</v>
      </c>
      <c r="K58">
        <v>0.2</v>
      </c>
      <c r="L58" s="46">
        <f>K58-$R$3</f>
        <v>-1.03</v>
      </c>
      <c r="M58" s="152">
        <f t="shared" si="2"/>
        <v>1.0125632570257055</v>
      </c>
      <c r="O58">
        <f>$B58+$N$5/100*$B58</f>
        <v>1.27</v>
      </c>
      <c r="P58">
        <f>$B58-$N$5/100*$B58</f>
        <v>1.27</v>
      </c>
    </row>
    <row r="59" spans="1:16" x14ac:dyDescent="0.35">
      <c r="A59" t="s">
        <v>81</v>
      </c>
      <c r="B59">
        <v>3.4</v>
      </c>
      <c r="D59" s="2">
        <v>2.0158799999999998E-3</v>
      </c>
      <c r="E59" s="20">
        <v>2</v>
      </c>
      <c r="F59">
        <v>0</v>
      </c>
      <c r="G59" s="6">
        <v>0</v>
      </c>
      <c r="H59" s="46">
        <f>G59-$R$3</f>
        <v>-1.23</v>
      </c>
      <c r="I59" s="151">
        <v>1.4812096305210336</v>
      </c>
      <c r="J59" s="20">
        <v>2</v>
      </c>
      <c r="K59">
        <v>0</v>
      </c>
      <c r="L59" s="46">
        <f>K59-$R$3</f>
        <v>-1.23</v>
      </c>
      <c r="M59" s="152">
        <f t="shared" si="2"/>
        <v>1.4812096305210336</v>
      </c>
      <c r="O59">
        <f>$B59+$N$5/100*$B59</f>
        <v>3.4</v>
      </c>
      <c r="P59">
        <f>$B59-$N$5/100*$B59</f>
        <v>3.4</v>
      </c>
    </row>
    <row r="60" spans="1:16" x14ac:dyDescent="0.35">
      <c r="A60" t="s">
        <v>82</v>
      </c>
      <c r="D60" s="2">
        <v>3.1998800000000001E-2</v>
      </c>
      <c r="E60" s="20">
        <v>4</v>
      </c>
      <c r="J60" s="20"/>
      <c r="M60" s="50"/>
    </row>
    <row r="61" spans="1:16" x14ac:dyDescent="0.35">
      <c r="A61" t="s">
        <v>83</v>
      </c>
      <c r="B61">
        <v>1E-3</v>
      </c>
      <c r="C61" t="s">
        <v>53</v>
      </c>
      <c r="D61" s="2">
        <v>1.8015300000000001E-2</v>
      </c>
      <c r="E61" s="20"/>
      <c r="L61" s="49"/>
      <c r="N61">
        <f>$B61-$N$5/100*$B61</f>
        <v>1E-3</v>
      </c>
      <c r="O61">
        <f>$B61+$N$5/100*$B61</f>
        <v>1E-3</v>
      </c>
    </row>
    <row r="62" spans="1:16" x14ac:dyDescent="0.35">
      <c r="A62" t="s">
        <v>84</v>
      </c>
      <c r="B62">
        <v>0.04</v>
      </c>
      <c r="C62" t="s">
        <v>53</v>
      </c>
      <c r="D62" s="2">
        <v>4.40095E-2</v>
      </c>
      <c r="E62" s="20"/>
      <c r="L62" s="49"/>
      <c r="N62">
        <f>$B62-$N$5/100*$B62</f>
        <v>0.04</v>
      </c>
      <c r="O62">
        <f>$B62+$N$5/100*$B62</f>
        <v>0.04</v>
      </c>
    </row>
    <row r="63" spans="1:16" x14ac:dyDescent="0.35">
      <c r="A63" t="s">
        <v>85</v>
      </c>
      <c r="D63" s="2">
        <v>3.9098300000000002E-2</v>
      </c>
    </row>
    <row r="64" spans="1:16" x14ac:dyDescent="0.35">
      <c r="A64" t="s">
        <v>86</v>
      </c>
      <c r="D64" s="2">
        <v>5.6105599999999999E-2</v>
      </c>
    </row>
    <row r="65" spans="1:4" x14ac:dyDescent="0.35">
      <c r="A65" t="s">
        <v>87</v>
      </c>
      <c r="D65" s="2">
        <v>7.4078500000000005E-2</v>
      </c>
    </row>
    <row r="66" spans="1:4" x14ac:dyDescent="0.35">
      <c r="A66" t="s">
        <v>88</v>
      </c>
      <c r="D66" s="2">
        <v>7.4551000000000006E-2</v>
      </c>
    </row>
    <row r="67" spans="1:4" x14ac:dyDescent="0.35">
      <c r="A67" t="s">
        <v>89</v>
      </c>
      <c r="D67" s="2">
        <v>5.8443000000000002E-2</v>
      </c>
    </row>
    <row r="68" spans="1:4" x14ac:dyDescent="0.35">
      <c r="A68" t="s">
        <v>90</v>
      </c>
      <c r="D68" s="2">
        <v>3.6461E-2</v>
      </c>
    </row>
    <row r="69" spans="1:4" x14ac:dyDescent="0.35">
      <c r="A69" t="s">
        <v>228</v>
      </c>
      <c r="D69" s="2">
        <v>9.8142300000000002E-2</v>
      </c>
    </row>
    <row r="70" spans="1:4" x14ac:dyDescent="0.35">
      <c r="A70" t="s">
        <v>229</v>
      </c>
      <c r="D70" s="2">
        <v>0.1121689</v>
      </c>
    </row>
    <row r="71" spans="1:4" x14ac:dyDescent="0.35">
      <c r="A71" t="s">
        <v>302</v>
      </c>
      <c r="B71">
        <v>0.39600000000000002</v>
      </c>
      <c r="D71" s="2">
        <v>7.0905999999999997E-2</v>
      </c>
    </row>
    <row r="73" spans="1:4" x14ac:dyDescent="0.35">
      <c r="A73" s="1" t="s">
        <v>832</v>
      </c>
    </row>
    <row r="74" spans="1:4" x14ac:dyDescent="0.35">
      <c r="A74" t="s">
        <v>833</v>
      </c>
      <c r="B74">
        <v>187.08</v>
      </c>
      <c r="C74" t="s">
        <v>834</v>
      </c>
      <c r="D74" t="s">
        <v>835</v>
      </c>
    </row>
    <row r="75" spans="1:4" x14ac:dyDescent="0.35">
      <c r="A75" t="s">
        <v>839</v>
      </c>
      <c r="B75">
        <v>18</v>
      </c>
      <c r="C75" t="s">
        <v>834</v>
      </c>
      <c r="D75" t="s">
        <v>840</v>
      </c>
    </row>
    <row r="76" spans="1:4" x14ac:dyDescent="0.35">
      <c r="A76" t="s">
        <v>836</v>
      </c>
      <c r="B76">
        <v>259.2</v>
      </c>
      <c r="C76" t="s">
        <v>838</v>
      </c>
      <c r="D76" t="s">
        <v>837</v>
      </c>
    </row>
  </sheetData>
  <mergeCells count="5">
    <mergeCell ref="K4:L4"/>
    <mergeCell ref="E44:G44"/>
    <mergeCell ref="O45:P45"/>
    <mergeCell ref="O46:P46"/>
    <mergeCell ref="J44:M44"/>
  </mergeCells>
  <hyperlinks>
    <hyperlink ref="E11" r:id="rId1" xr:uid="{EECFA8AD-8AD3-4DDD-BBA8-88D76160DC7D}"/>
  </hyperlinks>
  <pageMargins left="0.7" right="0.7" top="0.75" bottom="0.75" header="0.3" footer="0.3"/>
  <pageSetup paperSize="9"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A33F-B18C-43BA-A393-4FEC7710BC33}">
  <dimension ref="A2:P44"/>
  <sheetViews>
    <sheetView zoomScale="55" zoomScaleNormal="55" workbookViewId="0">
      <selection activeCell="O49" sqref="O49"/>
    </sheetView>
  </sheetViews>
  <sheetFormatPr defaultRowHeight="14.5" x14ac:dyDescent="0.35"/>
  <cols>
    <col min="1" max="1" width="39.6328125" customWidth="1"/>
    <col min="2" max="2" width="8.453125" customWidth="1"/>
    <col min="3" max="3" width="10.08984375" customWidth="1"/>
    <col min="7" max="7" width="11.81640625" bestFit="1" customWidth="1"/>
    <col min="11" max="11" width="16.54296875" customWidth="1"/>
    <col min="12" max="12" width="16.26953125" customWidth="1"/>
    <col min="13" max="13" width="10.08984375" bestFit="1" customWidth="1"/>
    <col min="14" max="14" width="11.1796875" bestFit="1" customWidth="1"/>
  </cols>
  <sheetData>
    <row r="2" spans="1:16" ht="27.5" customHeight="1" x14ac:dyDescent="0.35">
      <c r="A2" s="110" t="s">
        <v>880</v>
      </c>
    </row>
    <row r="3" spans="1:16" x14ac:dyDescent="0.35">
      <c r="A3" s="169" t="s">
        <v>879</v>
      </c>
      <c r="B3" s="169" t="s">
        <v>873</v>
      </c>
      <c r="C3" s="169"/>
      <c r="D3" s="169"/>
      <c r="E3" s="169"/>
      <c r="G3" s="169" t="s">
        <v>65</v>
      </c>
      <c r="H3" s="169"/>
      <c r="I3" s="169"/>
      <c r="J3" s="169"/>
    </row>
    <row r="4" spans="1:16" x14ac:dyDescent="0.35">
      <c r="A4" s="169"/>
      <c r="B4" t="s">
        <v>874</v>
      </c>
      <c r="C4" t="s">
        <v>875</v>
      </c>
    </row>
    <row r="5" spans="1:16" x14ac:dyDescent="0.35">
      <c r="A5" t="s">
        <v>604</v>
      </c>
      <c r="B5" s="46">
        <f ca="1">Economics!B55/(Economics!$D$42*1000)</f>
        <v>7.6207291674973954</v>
      </c>
      <c r="C5" s="46">
        <f>(SUM('Energy Integration'!F36:F37,'Energy Integration'!F39,'Energy Integration'!F42)*'Base operation parameters'!C8)/(Economics!$D$42*1000)</f>
        <v>7.3174664679773951</v>
      </c>
      <c r="D5" s="46"/>
      <c r="E5" s="46"/>
      <c r="G5">
        <f ca="1">B5*(Economics!$D$42*1000)/('Base operation parameters'!$C$8*1000)</f>
        <v>95.259114593717442</v>
      </c>
      <c r="H5">
        <f>C5*(Economics!$D$42*1000)/('Base operation parameters'!$C$8*1000)</f>
        <v>91.468330849717432</v>
      </c>
    </row>
    <row r="6" spans="1:16" x14ac:dyDescent="0.35">
      <c r="A6" t="s">
        <v>876</v>
      </c>
      <c r="B6" s="46">
        <f ca="1">(Economics!B50*277.77778)/(Economics!$D$42*1000)</f>
        <v>6.7205855697490588E-2</v>
      </c>
      <c r="C6" s="46">
        <f ca="1">(('Energy Integration'!F14+'Energy Integration'!F15+'Energy Integration'!F24+'Energy Integration'!W15)*'Base operation parameters'!C8+SUM(Economics!B50)*277.7778)/(Economics!$D$42*1000)</f>
        <v>2.0959220157363121</v>
      </c>
      <c r="D6" s="46"/>
      <c r="E6" s="46"/>
      <c r="G6">
        <f ca="1">B6*(Economics!$D$42*1000)/('Base operation parameters'!$C$8*1000)</f>
        <v>0.84007319621863241</v>
      </c>
      <c r="H6">
        <f ca="1">C6*(Economics!$D$42*1000)/('Base operation parameters'!$C$8*1000)</f>
        <v>26.1990251967039</v>
      </c>
    </row>
    <row r="7" spans="1:16" x14ac:dyDescent="0.35">
      <c r="A7" t="s">
        <v>878</v>
      </c>
      <c r="B7" s="46">
        <f ca="1">(SUM(Economics!B53:B54)*277.77778)/(Economics!$D$42*1000)</f>
        <v>3.3671986746691083</v>
      </c>
      <c r="C7" s="46">
        <f ca="1">(('Energy Integration'!F14-'Energy Integration'!F38+'Energy Integration'!M27)*'Base operation parameters'!C8+SUM(Economics!B53:B54)*277.7778)/(Economics!$D$42*1000)</f>
        <v>4.6407266419074107</v>
      </c>
      <c r="D7" s="46"/>
      <c r="E7" s="46"/>
      <c r="G7">
        <f ca="1">B7*(Economics!$D$42*1000)/('Base operation parameters'!$C$8*1000)</f>
        <v>42.089983433363855</v>
      </c>
      <c r="H7">
        <f ca="1">C7*(Economics!$D$42*1000)/('Base operation parameters'!$C$8*1000)</f>
        <v>58.009083023842635</v>
      </c>
    </row>
    <row r="9" spans="1:16" ht="29" x14ac:dyDescent="0.35">
      <c r="A9" s="110" t="s">
        <v>888</v>
      </c>
    </row>
    <row r="10" spans="1:16" x14ac:dyDescent="0.35">
      <c r="A10" s="169" t="s">
        <v>889</v>
      </c>
      <c r="B10" s="169"/>
      <c r="C10" s="169"/>
      <c r="D10" s="169"/>
      <c r="E10" s="169"/>
    </row>
    <row r="11" spans="1:16" x14ac:dyDescent="0.35">
      <c r="A11" s="169"/>
      <c r="B11" t="s">
        <v>874</v>
      </c>
      <c r="C11" t="s">
        <v>875</v>
      </c>
    </row>
    <row r="12" spans="1:16" x14ac:dyDescent="0.35">
      <c r="A12" t="s">
        <v>604</v>
      </c>
      <c r="B12" s="46">
        <f ca="1">B5*Economics!$D$42/(Economics!$B$69)*Economics!$C$69/Economics!$C$73</f>
        <v>7.6982776038125094</v>
      </c>
      <c r="C12" s="46">
        <f>C5*Economics!$D$42/(Economics!$B$69)*Economics!$C$69/Economics!$C$73</f>
        <v>7.3919289071886132</v>
      </c>
      <c r="D12" s="46"/>
      <c r="E12" s="46"/>
    </row>
    <row r="13" spans="1:16" x14ac:dyDescent="0.35">
      <c r="A13" t="s">
        <v>876</v>
      </c>
      <c r="B13" s="46">
        <f ca="1">B6*Economics!$D$42/(Economics!$B$69)*Economics!$C$69/Economics!$C$73</f>
        <v>6.7889741570615128E-2</v>
      </c>
      <c r="C13" s="46">
        <f ca="1">C6*Economics!$D$42/(Economics!$B$69)*Economics!$C$69/Economics!$C$73</f>
        <v>2.1172500896497626</v>
      </c>
      <c r="D13" s="46"/>
      <c r="E13" s="46"/>
    </row>
    <row r="14" spans="1:16" x14ac:dyDescent="0.35">
      <c r="A14" t="s">
        <v>878</v>
      </c>
      <c r="B14" s="46">
        <f ca="1">B7*Economics!$D$42/(Economics!$B$69)*Economics!$C$69/Economics!$C$73</f>
        <v>3.4014632425659181</v>
      </c>
      <c r="C14" s="46">
        <f ca="1">C7*Economics!$D$42/(Economics!$B$69)*Economics!$C$69/Economics!$C$73</f>
        <v>4.6879506130702646</v>
      </c>
      <c r="D14" s="46"/>
      <c r="E14" s="46"/>
    </row>
    <row r="15" spans="1:16" x14ac:dyDescent="0.35">
      <c r="B15" s="46">
        <f ca="1">SUM(B12:B14)</f>
        <v>11.167630587949041</v>
      </c>
      <c r="C15" s="46">
        <f t="shared" ref="C15" ca="1" si="0">SUM(C12:C14)</f>
        <v>14.197129609908639</v>
      </c>
      <c r="D15" s="46"/>
      <c r="E15" s="46"/>
      <c r="M15" s="169"/>
      <c r="N15" s="169"/>
      <c r="O15" s="169"/>
      <c r="P15" s="169"/>
    </row>
    <row r="16" spans="1:16" x14ac:dyDescent="0.35">
      <c r="A16" s="1" t="s">
        <v>882</v>
      </c>
      <c r="L16" t="s">
        <v>890</v>
      </c>
      <c r="M16" t="s">
        <v>874</v>
      </c>
      <c r="N16" t="s">
        <v>875</v>
      </c>
    </row>
    <row r="17" spans="1:16" x14ac:dyDescent="0.35">
      <c r="B17" s="169"/>
      <c r="C17" s="169"/>
      <c r="D17" s="169"/>
      <c r="E17" s="169"/>
      <c r="F17" s="169"/>
      <c r="G17" s="169"/>
      <c r="H17" s="169"/>
      <c r="I17" s="169"/>
      <c r="K17" s="169" t="s">
        <v>863</v>
      </c>
      <c r="L17" t="s">
        <v>604</v>
      </c>
      <c r="M17" s="2">
        <f>SUM('Energy Integration'!F37,'Energy Integration'!F36,'Energy Integration'!F42)*'Base operation parameters'!C8</f>
        <v>654298614.95434678</v>
      </c>
      <c r="N17" s="2">
        <f>M17</f>
        <v>654298614.95434678</v>
      </c>
      <c r="O17" s="2"/>
      <c r="P17" s="2"/>
    </row>
    <row r="18" spans="1:16" x14ac:dyDescent="0.35">
      <c r="A18" s="169" t="s">
        <v>395</v>
      </c>
      <c r="B18" s="169" t="s">
        <v>874</v>
      </c>
      <c r="C18" s="169"/>
      <c r="D18" s="169" t="s">
        <v>875</v>
      </c>
      <c r="E18" s="169"/>
      <c r="F18" s="169"/>
      <c r="G18" s="169"/>
      <c r="H18" s="169"/>
      <c r="I18" s="169"/>
      <c r="K18" s="169"/>
      <c r="L18" t="s">
        <v>876</v>
      </c>
      <c r="M18" s="2">
        <v>0</v>
      </c>
      <c r="N18" s="2">
        <v>0</v>
      </c>
      <c r="O18" s="2"/>
      <c r="P18" s="2"/>
    </row>
    <row r="19" spans="1:16" x14ac:dyDescent="0.35">
      <c r="A19" s="169"/>
      <c r="B19" t="s">
        <v>885</v>
      </c>
      <c r="C19" t="s">
        <v>886</v>
      </c>
      <c r="D19" t="s">
        <v>885</v>
      </c>
      <c r="E19" t="s">
        <v>886</v>
      </c>
      <c r="K19" s="169" t="s">
        <v>883</v>
      </c>
      <c r="L19" t="s">
        <v>604</v>
      </c>
      <c r="M19" s="2">
        <f>SUM('Energy Integration'!F38,'Energy Integration'!F39)*'Base operation parameters'!C8</f>
        <v>94661902.563392803</v>
      </c>
      <c r="N19" s="2">
        <f>SUM('Energy Integration'!F39)*'Base operation parameters'!C8</f>
        <v>77448031.843392804</v>
      </c>
      <c r="O19" s="2"/>
      <c r="P19" s="2"/>
    </row>
    <row r="20" spans="1:16" x14ac:dyDescent="0.35">
      <c r="A20" t="s">
        <v>863</v>
      </c>
      <c r="B20" s="46">
        <f>(M17*'Base operation parameters'!$B$75+M18*'Base operation parameters'!$B$76)/(Economics!$D$42*1000)</f>
        <v>117.77375069178241</v>
      </c>
      <c r="C20" s="46">
        <f>(M17*'Base operation parameters'!$B$74+M18*'Base operation parameters'!$B$76)/(Economics!$D$42*1000)</f>
        <v>1224.0618488565922</v>
      </c>
      <c r="D20" s="46">
        <f>(N17*'Base operation parameters'!$B$75+N18*'Base operation parameters'!$B$76)/(Economics!$D$42*1000)</f>
        <v>117.77375069178241</v>
      </c>
      <c r="E20" s="46">
        <f>(N17*'Base operation parameters'!$B$74+N18*'Base operation parameters'!$B$76)/(Economics!$D$42*1000)</f>
        <v>1224.0618488565922</v>
      </c>
      <c r="F20" s="46"/>
      <c r="G20" s="46"/>
      <c r="H20" s="46"/>
      <c r="I20" s="46"/>
      <c r="K20" s="169"/>
      <c r="L20" t="s">
        <v>876</v>
      </c>
      <c r="M20" s="2">
        <f>'Energy Integration'!C46*277.7778</f>
        <v>6720586.0536312154</v>
      </c>
      <c r="N20" s="2">
        <f>M20+SUM('Energy Integration'!F14,'Energy Integration'!F15,'Energy Integration'!F24,'Energy Integration'!W15)*'Base operation parameters'!C8</f>
        <v>209592201.57363123</v>
      </c>
      <c r="O20" s="2"/>
      <c r="P20" s="2"/>
    </row>
    <row r="21" spans="1:16" x14ac:dyDescent="0.35">
      <c r="A21" t="s">
        <v>883</v>
      </c>
      <c r="B21" s="46">
        <f>(M19*'Base operation parameters'!$B$75+M20*'Base operation parameters'!$B$76)/(Economics!$D$42*1000)</f>
        <v>34.458901512422813</v>
      </c>
      <c r="C21" s="46">
        <f>(M19*'Base operation parameters'!$B$74+M20*'Base operation parameters'!$B$76)/(Economics!$D$42*1000)</f>
        <v>194.5132463666074</v>
      </c>
      <c r="D21" s="46">
        <f>(N19*'Base operation parameters'!$B$75+N20*'Base operation parameters'!$B$76)/(Economics!$D$42*1000)</f>
        <v>557.20363221066282</v>
      </c>
      <c r="E21" s="46">
        <f>(N19*'Base operation parameters'!$B$74+N20*'Base operation parameters'!$B$76)/(Economics!$D$42*1000)</f>
        <v>688.1527644514714</v>
      </c>
      <c r="F21" s="46"/>
      <c r="G21" s="46"/>
      <c r="H21" s="46"/>
      <c r="I21" s="46"/>
      <c r="K21" s="169" t="s">
        <v>639</v>
      </c>
      <c r="L21" t="s">
        <v>604</v>
      </c>
      <c r="M21" s="2">
        <f>SUM('Energy Integration'!F40:F41)*'Base operation parameters'!C8</f>
        <v>13112399.231999999</v>
      </c>
      <c r="N21" s="2">
        <v>0</v>
      </c>
      <c r="O21" s="2"/>
      <c r="P21" s="2"/>
    </row>
    <row r="22" spans="1:16" x14ac:dyDescent="0.35">
      <c r="A22" t="s">
        <v>639</v>
      </c>
      <c r="B22" s="46">
        <f>(M21*'Base operation parameters'!$B$75+M22*'Base operation parameters'!$B$76)/(Economics!$D$42*1000)</f>
        <v>2.3602318617599995</v>
      </c>
      <c r="C22" s="46">
        <f>(M21*'Base operation parameters'!$B$74+M22*'Base operation parameters'!$B$76)/(Economics!$D$42*1000)</f>
        <v>24.530676483225598</v>
      </c>
      <c r="D22" s="46">
        <f>(N21*'Base operation parameters'!$B$75+N22*'Base operation parameters'!$B$76)/(Economics!$D$42*1000)</f>
        <v>0</v>
      </c>
      <c r="E22" s="46">
        <f>(N21*'Base operation parameters'!$B$74+N22*'Base operation parameters'!$B$76)/(Economics!$D$42*1000)</f>
        <v>0</v>
      </c>
      <c r="F22" s="46"/>
      <c r="G22" s="46"/>
      <c r="H22" s="46"/>
      <c r="I22" s="46"/>
      <c r="K22" s="169"/>
      <c r="L22" t="s">
        <v>876</v>
      </c>
      <c r="M22" s="2">
        <v>0</v>
      </c>
      <c r="N22" s="2">
        <v>0</v>
      </c>
      <c r="O22" s="2"/>
      <c r="P22" s="2"/>
    </row>
    <row r="23" spans="1:16" x14ac:dyDescent="0.35">
      <c r="B23" s="46">
        <f>SUM(B20:B22)</f>
        <v>154.59288406596525</v>
      </c>
      <c r="C23" s="46">
        <f t="shared" ref="C23:E23" si="1">SUM(C20:C22)</f>
        <v>1443.1057717064252</v>
      </c>
      <c r="D23" s="46">
        <f t="shared" si="1"/>
        <v>674.97738290244524</v>
      </c>
      <c r="E23" s="46">
        <f t="shared" si="1"/>
        <v>1912.2146133080637</v>
      </c>
      <c r="F23" s="46"/>
      <c r="G23" s="46"/>
      <c r="H23" s="46"/>
      <c r="I23" s="46"/>
    </row>
    <row r="24" spans="1:16" x14ac:dyDescent="0.35">
      <c r="A24" s="1" t="s">
        <v>884</v>
      </c>
    </row>
    <row r="25" spans="1:16" x14ac:dyDescent="0.35">
      <c r="A25" s="169" t="s">
        <v>395</v>
      </c>
      <c r="B25" s="169" t="s">
        <v>873</v>
      </c>
      <c r="C25" s="169"/>
      <c r="D25" s="169"/>
      <c r="E25" s="169"/>
      <c r="F25" s="169"/>
      <c r="G25" s="169"/>
      <c r="H25" s="169"/>
      <c r="I25" s="169"/>
    </row>
    <row r="26" spans="1:16" x14ac:dyDescent="0.35">
      <c r="A26" s="169"/>
      <c r="B26" s="169" t="s">
        <v>874</v>
      </c>
      <c r="C26" s="169"/>
      <c r="D26" s="169" t="s">
        <v>875</v>
      </c>
      <c r="E26" s="169"/>
      <c r="F26" s="169"/>
      <c r="G26" s="169"/>
      <c r="H26" s="169"/>
      <c r="I26" s="169"/>
    </row>
    <row r="27" spans="1:16" x14ac:dyDescent="0.35">
      <c r="A27" s="169"/>
      <c r="B27" t="s">
        <v>885</v>
      </c>
      <c r="C27" t="s">
        <v>886</v>
      </c>
      <c r="D27" t="s">
        <v>885</v>
      </c>
      <c r="E27" t="s">
        <v>886</v>
      </c>
    </row>
    <row r="28" spans="1:16" x14ac:dyDescent="0.35">
      <c r="A28" t="s">
        <v>863</v>
      </c>
      <c r="B28" s="46">
        <f>B20*Economics!$D$42/(Economics!$B$69)*Economics!$C$69/Economics!$C$73</f>
        <v>118.9722147763043</v>
      </c>
      <c r="C28" s="46">
        <f>C20*Economics!$D$42/(Economics!$B$69)*Economics!$C$69/Economics!$C$73</f>
        <v>1236.5178855750562</v>
      </c>
      <c r="D28" s="46">
        <f>D20*Economics!$D$42/(Economics!$B$69)*Economics!$C$69/Economics!$C$73</f>
        <v>118.9722147763043</v>
      </c>
      <c r="E28" s="46">
        <f>E20*Economics!$D$42/(Economics!$B$69)*Economics!$C$69/Economics!$C$73</f>
        <v>1236.5178855750562</v>
      </c>
      <c r="F28" s="46"/>
      <c r="G28" s="46"/>
      <c r="H28" s="46"/>
      <c r="I28" s="46"/>
    </row>
    <row r="29" spans="1:16" x14ac:dyDescent="0.35">
      <c r="A29" t="s">
        <v>883</v>
      </c>
      <c r="B29" s="46">
        <f>B21*Economics!$D$42/(Economics!$B$69)*Economics!$C$69/Economics!$C$73</f>
        <v>34.809554825339653</v>
      </c>
      <c r="C29" s="46">
        <f>C21*Economics!$D$42/(Economics!$B$69)*Economics!$C$69/Economics!$C$73</f>
        <v>196.49261051494133</v>
      </c>
      <c r="D29" s="46">
        <f>D21*Economics!$D$42/(Economics!$B$69)*Economics!$C$69/Economics!$C$73</f>
        <v>562.87372879030943</v>
      </c>
      <c r="E29" s="46">
        <f>E21*Economics!$D$42/(Economics!$B$69)*Economics!$C$69/Economics!$C$73</f>
        <v>695.15539761900857</v>
      </c>
      <c r="F29" s="46"/>
      <c r="G29" s="46"/>
      <c r="H29" s="46"/>
      <c r="I29" s="46"/>
    </row>
    <row r="30" spans="1:16" x14ac:dyDescent="0.35">
      <c r="A30" t="s">
        <v>639</v>
      </c>
      <c r="B30" s="46">
        <f>B22*Economics!$D$42/(Economics!$B$69)*Economics!$C$69/Economics!$C$73</f>
        <v>2.3842495490701903</v>
      </c>
      <c r="C30" s="46">
        <f>C22*Economics!$D$42/(Economics!$B$69)*Economics!$C$69/Economics!$C$73</f>
        <v>24.780300313336177</v>
      </c>
      <c r="D30" s="46">
        <f>D22*Economics!$D$42/(Economics!$B$69)*Economics!$C$69/Economics!$C$73</f>
        <v>0</v>
      </c>
      <c r="E30" s="46">
        <f>E22*Economics!$D$42/(Economics!$B$69)*Economics!$C$69/Economics!$C$73</f>
        <v>0</v>
      </c>
      <c r="F30" s="46"/>
      <c r="G30" s="46"/>
      <c r="H30" s="46"/>
      <c r="I30" s="46"/>
    </row>
    <row r="31" spans="1:16" x14ac:dyDescent="0.35">
      <c r="B31" s="46">
        <f>SUM(B28:B30)</f>
        <v>156.16601915071413</v>
      </c>
      <c r="C31" s="46">
        <f t="shared" ref="C31:E31" si="2">SUM(C28:C30)</f>
        <v>1457.7907964033338</v>
      </c>
      <c r="D31" s="46">
        <f t="shared" si="2"/>
        <v>681.84594356661376</v>
      </c>
      <c r="E31" s="46">
        <f t="shared" si="2"/>
        <v>1931.6732831940649</v>
      </c>
      <c r="F31" s="46"/>
      <c r="G31" s="46"/>
      <c r="H31" s="46"/>
      <c r="I31" s="46"/>
    </row>
    <row r="32" spans="1:16" x14ac:dyDescent="0.35">
      <c r="A32" s="1"/>
      <c r="G32" s="1"/>
    </row>
    <row r="33" spans="1:11" x14ac:dyDescent="0.35">
      <c r="B33" s="169"/>
      <c r="C33" s="169"/>
      <c r="D33" s="169"/>
      <c r="E33" s="169"/>
      <c r="H33" s="169"/>
      <c r="I33" s="169"/>
      <c r="J33" s="169"/>
      <c r="K33" s="169"/>
    </row>
    <row r="35" spans="1:11" x14ac:dyDescent="0.35">
      <c r="B35" s="46"/>
      <c r="C35" s="46"/>
      <c r="D35" s="46"/>
      <c r="E35" s="46"/>
      <c r="H35" s="46"/>
      <c r="I35" s="46"/>
      <c r="J35" s="46"/>
      <c r="K35" s="46"/>
    </row>
    <row r="36" spans="1:11" x14ac:dyDescent="0.35">
      <c r="B36" s="46"/>
      <c r="C36" s="46"/>
      <c r="D36" s="46"/>
      <c r="E36" s="46"/>
      <c r="H36" s="46"/>
      <c r="I36" s="46"/>
      <c r="J36" s="46"/>
      <c r="K36" s="46"/>
    </row>
    <row r="37" spans="1:11" x14ac:dyDescent="0.35">
      <c r="B37" s="46"/>
      <c r="C37" s="46"/>
      <c r="D37" s="46"/>
      <c r="E37" s="46"/>
      <c r="H37" s="46"/>
      <c r="I37" s="46"/>
      <c r="J37" s="46"/>
      <c r="K37" s="46"/>
    </row>
    <row r="39" spans="1:11" x14ac:dyDescent="0.35">
      <c r="A39" s="1"/>
    </row>
    <row r="40" spans="1:11" x14ac:dyDescent="0.35">
      <c r="B40" s="169"/>
      <c r="C40" s="169"/>
      <c r="D40" s="169"/>
      <c r="E40" s="169"/>
    </row>
    <row r="42" spans="1:11" x14ac:dyDescent="0.35">
      <c r="B42" s="46"/>
      <c r="C42" s="46"/>
      <c r="D42" s="46"/>
      <c r="E42" s="46"/>
    </row>
    <row r="43" spans="1:11" x14ac:dyDescent="0.35">
      <c r="B43" s="46"/>
      <c r="C43" s="46"/>
      <c r="D43" s="46"/>
      <c r="E43" s="46"/>
    </row>
    <row r="44" spans="1:11" x14ac:dyDescent="0.35">
      <c r="B44" s="46"/>
      <c r="C44" s="46"/>
      <c r="D44" s="46"/>
      <c r="E44" s="46"/>
    </row>
  </sheetData>
  <mergeCells count="32">
    <mergeCell ref="B33:C33"/>
    <mergeCell ref="D33:E33"/>
    <mergeCell ref="B40:C40"/>
    <mergeCell ref="D40:E40"/>
    <mergeCell ref="H33:I33"/>
    <mergeCell ref="J33:K33"/>
    <mergeCell ref="K19:K20"/>
    <mergeCell ref="K21:K22"/>
    <mergeCell ref="H18:I18"/>
    <mergeCell ref="O15:P15"/>
    <mergeCell ref="K17:K18"/>
    <mergeCell ref="A18:A19"/>
    <mergeCell ref="A25:A27"/>
    <mergeCell ref="B25:E25"/>
    <mergeCell ref="F25:I25"/>
    <mergeCell ref="B26:C26"/>
    <mergeCell ref="D26:E26"/>
    <mergeCell ref="F26:G26"/>
    <mergeCell ref="H26:I26"/>
    <mergeCell ref="B17:E17"/>
    <mergeCell ref="F17:I17"/>
    <mergeCell ref="D18:E18"/>
    <mergeCell ref="B18:C18"/>
    <mergeCell ref="F18:G18"/>
    <mergeCell ref="A3:A4"/>
    <mergeCell ref="A10:A11"/>
    <mergeCell ref="B10:C10"/>
    <mergeCell ref="D10:E10"/>
    <mergeCell ref="M15:N15"/>
    <mergeCell ref="G3:J3"/>
    <mergeCell ref="B3:C3"/>
    <mergeCell ref="D3:E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670D6-6727-4B22-A522-DEA232E0CC0D}">
  <dimension ref="A1:T132"/>
  <sheetViews>
    <sheetView zoomScale="55" zoomScaleNormal="55" workbookViewId="0">
      <selection activeCell="C37" sqref="C37"/>
    </sheetView>
  </sheetViews>
  <sheetFormatPr defaultRowHeight="14.5" x14ac:dyDescent="0.35"/>
  <cols>
    <col min="1" max="1" width="16.81640625" customWidth="1"/>
    <col min="3" max="3" width="22.81640625" customWidth="1"/>
    <col min="4" max="4" width="10.26953125" customWidth="1"/>
    <col min="5" max="5" width="7.54296875" customWidth="1"/>
    <col min="6" max="6" width="23.453125" customWidth="1"/>
    <col min="7" max="7" width="15.7265625" customWidth="1"/>
    <col min="8" max="8" width="9.81640625" bestFit="1" customWidth="1"/>
    <col min="9" max="9" width="11.54296875" customWidth="1"/>
    <col min="10" max="10" width="14.1796875" bestFit="1" customWidth="1"/>
    <col min="12" max="12" width="27.1796875" customWidth="1"/>
    <col min="13" max="13" width="20.453125" bestFit="1" customWidth="1"/>
    <col min="14" max="14" width="11.54296875" bestFit="1" customWidth="1"/>
    <col min="15" max="15" width="15.1796875" customWidth="1"/>
    <col min="16" max="16" width="11.81640625" bestFit="1" customWidth="1"/>
    <col min="17" max="17" width="11.81640625" customWidth="1"/>
    <col min="18" max="18" width="12.6328125" bestFit="1" customWidth="1"/>
    <col min="24" max="24" width="10.81640625" bestFit="1" customWidth="1"/>
  </cols>
  <sheetData>
    <row r="1" spans="1:18" x14ac:dyDescent="0.35">
      <c r="A1" s="1" t="s">
        <v>91</v>
      </c>
    </row>
    <row r="3" spans="1:18" x14ac:dyDescent="0.35">
      <c r="A3" t="s">
        <v>8</v>
      </c>
      <c r="B3" t="s">
        <v>10</v>
      </c>
    </row>
    <row r="4" spans="1:18" x14ac:dyDescent="0.35">
      <c r="A4" t="s">
        <v>92</v>
      </c>
      <c r="C4" s="5" t="s">
        <v>93</v>
      </c>
      <c r="D4" s="172" t="s">
        <v>94</v>
      </c>
      <c r="E4" s="172"/>
      <c r="F4" s="5" t="s">
        <v>95</v>
      </c>
      <c r="G4" s="5" t="s">
        <v>96</v>
      </c>
      <c r="H4" s="5" t="s">
        <v>97</v>
      </c>
      <c r="I4" s="5" t="s">
        <v>98</v>
      </c>
      <c r="J4" s="172" t="s">
        <v>99</v>
      </c>
      <c r="K4" s="172"/>
      <c r="L4" s="5" t="s">
        <v>100</v>
      </c>
      <c r="M4" s="5" t="s">
        <v>101</v>
      </c>
    </row>
    <row r="5" spans="1:18" x14ac:dyDescent="0.35">
      <c r="A5" t="s">
        <v>102</v>
      </c>
      <c r="C5" s="14" t="s">
        <v>103</v>
      </c>
      <c r="D5" s="14" t="s">
        <v>104</v>
      </c>
      <c r="E5" s="14" t="s">
        <v>105</v>
      </c>
      <c r="F5" s="14" t="s">
        <v>105</v>
      </c>
      <c r="G5" s="14" t="s">
        <v>104</v>
      </c>
      <c r="H5" s="14" t="s">
        <v>105</v>
      </c>
      <c r="I5" s="14" t="s">
        <v>106</v>
      </c>
      <c r="J5" s="173" t="s">
        <v>106</v>
      </c>
      <c r="K5" s="173"/>
      <c r="L5" s="14" t="s">
        <v>106</v>
      </c>
      <c r="M5" s="21" t="s">
        <v>107</v>
      </c>
    </row>
    <row r="6" spans="1:18" x14ac:dyDescent="0.35">
      <c r="A6" t="s">
        <v>108</v>
      </c>
      <c r="C6" s="14" t="s">
        <v>109</v>
      </c>
      <c r="F6" s="14" t="s">
        <v>110</v>
      </c>
      <c r="G6" s="14" t="s">
        <v>71</v>
      </c>
      <c r="H6" s="14" t="s">
        <v>111</v>
      </c>
      <c r="I6" s="14" t="s">
        <v>112</v>
      </c>
      <c r="J6" s="173" t="s">
        <v>113</v>
      </c>
      <c r="K6" s="173"/>
      <c r="L6" s="14" t="s">
        <v>109</v>
      </c>
      <c r="M6" s="21" t="s">
        <v>71</v>
      </c>
    </row>
    <row r="7" spans="1:18" x14ac:dyDescent="0.35">
      <c r="A7" t="s">
        <v>114</v>
      </c>
      <c r="C7" s="14" t="s">
        <v>115</v>
      </c>
      <c r="F7" s="14" t="s">
        <v>110</v>
      </c>
      <c r="G7" s="14" t="s">
        <v>116</v>
      </c>
      <c r="H7" s="14" t="s">
        <v>117</v>
      </c>
      <c r="I7" s="14" t="s">
        <v>118</v>
      </c>
      <c r="J7" s="173" t="s">
        <v>118</v>
      </c>
      <c r="K7" s="173"/>
      <c r="L7" s="14" t="s">
        <v>118</v>
      </c>
      <c r="M7" s="21" t="s">
        <v>119</v>
      </c>
    </row>
    <row r="8" spans="1:18" x14ac:dyDescent="0.35">
      <c r="A8" t="s">
        <v>120</v>
      </c>
      <c r="C8" s="14" t="s">
        <v>115</v>
      </c>
      <c r="L8" s="14"/>
    </row>
    <row r="9" spans="1:18" x14ac:dyDescent="0.35">
      <c r="A9" t="s">
        <v>121</v>
      </c>
      <c r="B9" t="s">
        <v>21</v>
      </c>
      <c r="F9" s="14">
        <v>1.8</v>
      </c>
      <c r="H9" s="14">
        <v>-0.91</v>
      </c>
    </row>
    <row r="10" spans="1:18" x14ac:dyDescent="0.35">
      <c r="A10" t="s">
        <v>122</v>
      </c>
      <c r="B10" t="s">
        <v>29</v>
      </c>
      <c r="C10" s="14">
        <v>-3.34</v>
      </c>
      <c r="F10" s="15">
        <v>3.5</v>
      </c>
      <c r="G10" s="14">
        <v>2.58</v>
      </c>
      <c r="H10" s="15">
        <v>3.5</v>
      </c>
      <c r="I10" s="14">
        <v>3</v>
      </c>
      <c r="J10" s="14">
        <v>3.1</v>
      </c>
      <c r="K10" s="14">
        <v>2.88</v>
      </c>
      <c r="L10" s="14">
        <v>2.75</v>
      </c>
      <c r="M10" s="21">
        <v>2.19</v>
      </c>
    </row>
    <row r="11" spans="1:18" ht="16.5" x14ac:dyDescent="0.35">
      <c r="A11" t="s">
        <v>40</v>
      </c>
      <c r="B11" t="s">
        <v>41</v>
      </c>
      <c r="C11" s="14">
        <v>900</v>
      </c>
      <c r="F11" s="14">
        <v>250</v>
      </c>
      <c r="G11" s="14">
        <v>200</v>
      </c>
      <c r="H11" s="14">
        <v>2400</v>
      </c>
      <c r="I11" s="14">
        <v>271.60000000000002</v>
      </c>
      <c r="J11" s="14">
        <v>3000</v>
      </c>
      <c r="K11" s="14">
        <v>2000</v>
      </c>
      <c r="L11" s="14">
        <v>200</v>
      </c>
      <c r="M11" s="21">
        <v>200</v>
      </c>
      <c r="P11" s="170"/>
      <c r="Q11" s="170"/>
    </row>
    <row r="12" spans="1:18" ht="16.5" x14ac:dyDescent="0.35">
      <c r="A12" t="s">
        <v>123</v>
      </c>
      <c r="B12" t="s">
        <v>124</v>
      </c>
      <c r="C12" s="14">
        <v>1</v>
      </c>
      <c r="G12" s="14">
        <v>5</v>
      </c>
      <c r="H12" s="14">
        <v>0.5</v>
      </c>
      <c r="I12" s="14">
        <v>1</v>
      </c>
      <c r="J12" s="14">
        <v>4</v>
      </c>
      <c r="K12" s="14">
        <v>4</v>
      </c>
      <c r="L12" s="14">
        <v>5</v>
      </c>
      <c r="M12" s="14">
        <v>5</v>
      </c>
      <c r="P12" s="170"/>
      <c r="Q12" s="170"/>
    </row>
    <row r="13" spans="1:18" x14ac:dyDescent="0.35">
      <c r="A13" t="s">
        <v>125</v>
      </c>
      <c r="C13" s="16">
        <v>0.21</v>
      </c>
      <c r="G13" s="16">
        <v>0.08</v>
      </c>
      <c r="J13" s="16">
        <v>0.875</v>
      </c>
      <c r="K13" s="16">
        <v>0.876</v>
      </c>
      <c r="L13" s="16">
        <v>0.13900000000000001</v>
      </c>
      <c r="M13" s="134">
        <v>0.42</v>
      </c>
    </row>
    <row r="14" spans="1:18" ht="15" thickBot="1" x14ac:dyDescent="0.4">
      <c r="A14" t="s">
        <v>126</v>
      </c>
      <c r="C14" s="19" t="e">
        <f>ABS(SUMPRODUCT('Base operation parameters'!$L47:$L59,'Literature comparison'!C19:C29)/'Literature comparison'!C10)</f>
        <v>#VALUE!</v>
      </c>
      <c r="D14" s="19" t="e">
        <f>ABS(SUMPRODUCT('Base operation parameters'!$L47:$L59,'Literature comparison'!D19:D29)/'Literature comparison'!D10)</f>
        <v>#VALUE!</v>
      </c>
      <c r="E14" s="19" t="e">
        <f>ABS(SUMPRODUCT('Base operation parameters'!$L47:$L59,'Literature comparison'!E19:E29)/'Literature comparison'!E10)</f>
        <v>#VALUE!</v>
      </c>
      <c r="F14" s="19" t="e">
        <f>ABS(SUMPRODUCT('Base operation parameters'!$H47:$H59,F19:F29)/F10)</f>
        <v>#VALUE!</v>
      </c>
      <c r="G14" s="19" t="e">
        <f>ABS(SUMPRODUCT('Base operation parameters'!$L47:$L59,'Literature comparison'!G19:G29)/'Literature comparison'!G10)</f>
        <v>#VALUE!</v>
      </c>
      <c r="H14" s="19" t="e">
        <f>ABS(SUMPRODUCT('Base operation parameters'!$H47:$H59,H19:H29)/H10)</f>
        <v>#VALUE!</v>
      </c>
      <c r="I14" s="19" t="e">
        <f>ABS(SUMPRODUCT('Base operation parameters'!$H47:$H59,I19:I29)/I10)</f>
        <v>#VALUE!</v>
      </c>
      <c r="J14" s="19" t="e">
        <f>ABS(SUMPRODUCT('Base operation parameters'!$L47:$L59,'Literature comparison'!J19:J29)/'Literature comparison'!J10)</f>
        <v>#VALUE!</v>
      </c>
      <c r="K14" s="3">
        <f>ABS(K23*'Base operation parameters'!$M$52+K24*'Base operation parameters'!$M$54+K25*'Base operation parameters'!$M$55+K28*'Base operation parameters'!$M$58+K29*'Base operation parameters'!$M$59)/K10</f>
        <v>0.38024970908214173</v>
      </c>
      <c r="L14" s="3">
        <f>ABS(L23*'Base operation parameters'!$M$52+L24*'Base operation parameters'!$M$54+L25*'Base operation parameters'!$M$55+L28*'Base operation parameters'!$M$58+L29*'Base operation parameters'!$M$59)/L10</f>
        <v>0.37344806247182394</v>
      </c>
      <c r="M14" s="19">
        <f>ABS(M23*'Base operation parameters'!M53+'Literature comparison'!M24*'Base operation parameters'!M54+'Literature comparison'!M29*'Base operation parameters'!M59)/'Literature comparison'!M10</f>
        <v>0.33408258296717414</v>
      </c>
    </row>
    <row r="15" spans="1:18" ht="15" thickTop="1" x14ac:dyDescent="0.35">
      <c r="A15" t="s">
        <v>127</v>
      </c>
      <c r="B15" t="s">
        <v>128</v>
      </c>
      <c r="C15" s="17">
        <v>20</v>
      </c>
      <c r="F15" s="14">
        <v>20</v>
      </c>
      <c r="G15" s="14">
        <v>25</v>
      </c>
      <c r="J15" s="14">
        <v>20</v>
      </c>
      <c r="K15" s="14">
        <v>20</v>
      </c>
      <c r="L15" s="14">
        <v>40</v>
      </c>
      <c r="M15" s="22">
        <v>20</v>
      </c>
    </row>
    <row r="16" spans="1:18" s="144" customFormat="1" ht="211" x14ac:dyDescent="0.35">
      <c r="A16" s="145" t="s">
        <v>12</v>
      </c>
      <c r="B16" s="145"/>
      <c r="C16" s="142" t="s">
        <v>129</v>
      </c>
      <c r="D16" s="142"/>
      <c r="E16" s="142"/>
      <c r="F16" s="142"/>
      <c r="G16" s="142"/>
      <c r="H16" s="142"/>
      <c r="I16" s="142"/>
      <c r="J16" s="171" t="s">
        <v>131</v>
      </c>
      <c r="K16" s="171"/>
      <c r="L16" s="142" t="s">
        <v>132</v>
      </c>
      <c r="M16" s="142" t="s">
        <v>205</v>
      </c>
      <c r="N16"/>
      <c r="O16"/>
      <c r="P16"/>
      <c r="Q16"/>
      <c r="R16"/>
    </row>
    <row r="17" spans="1:20" s="144" customFormat="1" ht="74.5" x14ac:dyDescent="0.35">
      <c r="A17" s="145" t="s">
        <v>827</v>
      </c>
      <c r="B17" s="145"/>
      <c r="C17" s="142" t="s">
        <v>828</v>
      </c>
      <c r="D17" s="142"/>
      <c r="E17" s="142"/>
      <c r="F17" s="142" t="s">
        <v>130</v>
      </c>
      <c r="G17" s="142" t="s">
        <v>829</v>
      </c>
      <c r="H17" s="142" t="s">
        <v>830</v>
      </c>
      <c r="I17" s="142"/>
      <c r="J17" s="143"/>
      <c r="K17" s="143"/>
      <c r="L17" s="142"/>
      <c r="M17" s="142"/>
      <c r="N17"/>
      <c r="O17"/>
      <c r="P17"/>
      <c r="Q17"/>
      <c r="R17"/>
    </row>
    <row r="18" spans="1:20" x14ac:dyDescent="0.35">
      <c r="A18" s="1" t="s">
        <v>133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6"/>
    </row>
    <row r="19" spans="1:20" x14ac:dyDescent="0.35">
      <c r="A19" t="s">
        <v>71</v>
      </c>
      <c r="C19" s="18"/>
      <c r="D19" s="16"/>
      <c r="E19" s="16"/>
      <c r="F19" s="16">
        <v>9.2799999999999994E-2</v>
      </c>
      <c r="G19" s="16"/>
      <c r="H19" s="16">
        <v>8.5000000000000006E-2</v>
      </c>
      <c r="I19" s="16">
        <v>0.192</v>
      </c>
      <c r="J19" s="14"/>
      <c r="K19" s="14"/>
      <c r="L19" s="14"/>
      <c r="M19" s="16"/>
      <c r="T19" s="8"/>
    </row>
    <row r="20" spans="1:20" x14ac:dyDescent="0.35">
      <c r="A20" t="s">
        <v>72</v>
      </c>
      <c r="C20" s="18"/>
      <c r="D20" s="16"/>
      <c r="E20" s="16"/>
      <c r="F20" s="16"/>
      <c r="G20" s="16"/>
      <c r="H20" s="16">
        <v>0.03</v>
      </c>
      <c r="I20" s="16"/>
      <c r="J20" s="14"/>
      <c r="K20" s="14"/>
      <c r="L20" s="14"/>
      <c r="M20" s="16"/>
      <c r="T20" s="7"/>
    </row>
    <row r="21" spans="1:20" x14ac:dyDescent="0.35">
      <c r="A21" t="s">
        <v>73</v>
      </c>
      <c r="C21" s="18"/>
      <c r="D21" s="16"/>
      <c r="E21" s="16"/>
      <c r="F21" s="16"/>
      <c r="G21" s="16"/>
      <c r="H21" s="16"/>
      <c r="I21" s="16"/>
      <c r="J21" s="14"/>
      <c r="K21" s="14"/>
      <c r="L21" s="14"/>
      <c r="M21" s="16"/>
      <c r="T21" s="7"/>
    </row>
    <row r="22" spans="1:20" x14ac:dyDescent="0.35">
      <c r="A22" t="s">
        <v>74</v>
      </c>
      <c r="C22" s="18"/>
      <c r="D22" s="16"/>
      <c r="E22" s="16"/>
      <c r="F22" s="16">
        <v>7.7999999999999996E-3</v>
      </c>
      <c r="G22" s="16"/>
      <c r="H22" s="16">
        <v>0.01</v>
      </c>
      <c r="I22" s="16"/>
      <c r="J22" s="14"/>
      <c r="K22" s="14"/>
      <c r="L22" s="14"/>
      <c r="M22" s="16"/>
      <c r="T22" s="7"/>
    </row>
    <row r="23" spans="1:20" x14ac:dyDescent="0.35">
      <c r="A23" t="s">
        <v>75</v>
      </c>
      <c r="C23" s="18">
        <v>0.45800000000000002</v>
      </c>
      <c r="D23" s="16"/>
      <c r="E23" s="16"/>
      <c r="F23" s="16"/>
      <c r="G23" s="16">
        <v>0.17</v>
      </c>
      <c r="H23" s="16"/>
      <c r="I23" s="16"/>
      <c r="J23" s="16">
        <v>0.41399999999999998</v>
      </c>
      <c r="K23" s="16">
        <v>0.41299999999999998</v>
      </c>
      <c r="L23" s="16">
        <v>0.107</v>
      </c>
      <c r="M23" s="16">
        <v>0.496</v>
      </c>
      <c r="T23" s="7"/>
    </row>
    <row r="24" spans="1:20" x14ac:dyDescent="0.35">
      <c r="A24" t="s">
        <v>76</v>
      </c>
      <c r="C24" s="18">
        <v>0.156</v>
      </c>
      <c r="D24" s="16"/>
      <c r="E24" s="16"/>
      <c r="F24" s="16">
        <v>2.0799999999999999E-2</v>
      </c>
      <c r="G24" s="16">
        <v>0.3</v>
      </c>
      <c r="H24" s="16">
        <f>0.789-H25-H28</f>
        <v>0.22500000000000001</v>
      </c>
      <c r="I24" s="16">
        <v>5.0000000000000001E-3</v>
      </c>
      <c r="J24" s="16">
        <v>0.185</v>
      </c>
      <c r="K24" s="16">
        <v>0.28999999999999998</v>
      </c>
      <c r="L24" s="16">
        <v>0.316</v>
      </c>
      <c r="M24" s="16">
        <v>0.29380000000000001</v>
      </c>
      <c r="T24" s="7"/>
    </row>
    <row r="25" spans="1:20" x14ac:dyDescent="0.35">
      <c r="A25" t="s">
        <v>77</v>
      </c>
      <c r="C25" s="18">
        <v>6.6000000000000003E-2</v>
      </c>
      <c r="D25" s="16"/>
      <c r="E25" s="16"/>
      <c r="F25" s="16">
        <v>0.87209999999999999</v>
      </c>
      <c r="G25" s="16">
        <v>0.2</v>
      </c>
      <c r="H25" s="16">
        <v>0.52400000000000002</v>
      </c>
      <c r="I25" s="16">
        <v>0.68700000000000006</v>
      </c>
      <c r="J25" s="16">
        <v>7.9000000000000001E-2</v>
      </c>
      <c r="K25" s="16">
        <v>0.13300000000000001</v>
      </c>
      <c r="L25" s="16">
        <v>0.33500000000000002</v>
      </c>
      <c r="M25" s="16"/>
      <c r="T25" s="7"/>
    </row>
    <row r="26" spans="1:20" x14ac:dyDescent="0.35">
      <c r="A26" t="s">
        <v>78</v>
      </c>
      <c r="C26" s="18"/>
      <c r="D26" s="16"/>
      <c r="E26" s="16"/>
      <c r="F26" s="16"/>
      <c r="G26" s="16"/>
      <c r="H26" s="16"/>
      <c r="I26" s="16">
        <v>4.0000000000000001E-3</v>
      </c>
      <c r="J26" s="14"/>
      <c r="K26" s="14"/>
      <c r="L26" s="14"/>
      <c r="M26" s="16"/>
      <c r="T26" s="7"/>
    </row>
    <row r="27" spans="1:20" x14ac:dyDescent="0.35">
      <c r="A27" t="s">
        <v>79</v>
      </c>
      <c r="C27" s="18"/>
      <c r="D27" s="14"/>
      <c r="E27" s="14"/>
      <c r="F27" s="16"/>
      <c r="G27" s="16"/>
      <c r="H27" s="16"/>
      <c r="I27" s="16"/>
      <c r="J27" s="14"/>
      <c r="K27" s="14"/>
      <c r="L27" s="14"/>
      <c r="M27" s="16"/>
      <c r="T27" s="7"/>
    </row>
    <row r="28" spans="1:20" x14ac:dyDescent="0.35">
      <c r="A28" t="s">
        <v>80</v>
      </c>
      <c r="C28" s="18">
        <v>4.4000000000000004E-2</v>
      </c>
      <c r="D28" s="14"/>
      <c r="E28" s="14"/>
      <c r="F28" s="16">
        <v>3.8999999999999998E-3</v>
      </c>
      <c r="G28" s="16">
        <v>0.15</v>
      </c>
      <c r="H28" s="16">
        <v>0.04</v>
      </c>
      <c r="I28" s="16"/>
      <c r="J28" s="16">
        <v>2.8999999999999998E-2</v>
      </c>
      <c r="K28" s="16">
        <v>0.13200000000000001</v>
      </c>
      <c r="L28" s="16">
        <v>0.18100000000000002</v>
      </c>
      <c r="M28" s="16"/>
      <c r="T28" s="7"/>
    </row>
    <row r="29" spans="1:20" ht="15" thickBot="1" x14ac:dyDescent="0.4">
      <c r="A29" t="s">
        <v>81</v>
      </c>
      <c r="C29" s="18">
        <v>0.215</v>
      </c>
      <c r="D29" s="14"/>
      <c r="E29" s="14"/>
      <c r="F29" s="16">
        <v>2.2700000000000001E-2</v>
      </c>
      <c r="G29" s="16">
        <v>0.15</v>
      </c>
      <c r="H29" s="16">
        <v>0.10199999999999999</v>
      </c>
      <c r="I29" s="16">
        <v>9.5000000000000001E-2</v>
      </c>
      <c r="J29" s="16">
        <v>0.36399999999999999</v>
      </c>
      <c r="K29" s="16">
        <v>0.11800000000000001</v>
      </c>
      <c r="L29" s="16">
        <v>4.2999999999999997E-2</v>
      </c>
      <c r="M29" s="16">
        <v>0.13250000000000001</v>
      </c>
      <c r="T29" s="7"/>
    </row>
    <row r="30" spans="1:20" ht="15" thickTop="1" x14ac:dyDescent="0.35">
      <c r="A30" s="4" t="s">
        <v>134</v>
      </c>
      <c r="B30" s="4"/>
      <c r="C30" s="9">
        <f>SUM(C19:C29)</f>
        <v>0.93899999999999995</v>
      </c>
      <c r="D30" s="9">
        <f t="shared" ref="D30:I30" si="0">SUM(D19:D29)</f>
        <v>0</v>
      </c>
      <c r="E30" s="9">
        <f t="shared" si="0"/>
        <v>0</v>
      </c>
      <c r="F30" s="9">
        <f t="shared" si="0"/>
        <v>1.0201</v>
      </c>
      <c r="G30" s="9">
        <f t="shared" si="0"/>
        <v>0.97</v>
      </c>
      <c r="H30" s="9">
        <f t="shared" si="0"/>
        <v>1.016</v>
      </c>
      <c r="I30" s="9">
        <f t="shared" si="0"/>
        <v>0.9830000000000001</v>
      </c>
      <c r="J30" s="9">
        <f>SUM(J19:J29)</f>
        <v>1.071</v>
      </c>
      <c r="K30" s="9">
        <f>SUM(K19:K29)</f>
        <v>1.0860000000000001</v>
      </c>
      <c r="L30" s="9">
        <f>SUM(L19:L29)</f>
        <v>0.9820000000000001</v>
      </c>
      <c r="M30" s="9">
        <f>SUM(M19:M29)</f>
        <v>0.92230000000000012</v>
      </c>
    </row>
    <row r="31" spans="1:20" x14ac:dyDescent="0.35">
      <c r="C31" s="8"/>
    </row>
    <row r="32" spans="1:20" x14ac:dyDescent="0.35">
      <c r="A32" s="1" t="s">
        <v>135</v>
      </c>
      <c r="B32" t="s">
        <v>136</v>
      </c>
      <c r="C32" s="8"/>
    </row>
    <row r="33" spans="1:13" x14ac:dyDescent="0.35">
      <c r="A33" t="s">
        <v>71</v>
      </c>
      <c r="B33" t="s">
        <v>136</v>
      </c>
      <c r="C33" s="7">
        <f>14617/3600/(14617/3600+0.061389+0.039065)</f>
        <v>0.97585665085730378</v>
      </c>
      <c r="J33" s="3">
        <f>1-SUM(J34:J46)</f>
        <v>0.37006430348029384</v>
      </c>
      <c r="K33" s="3">
        <f>1-SUM(K34:K46)</f>
        <v>0.43870899055462598</v>
      </c>
      <c r="L33" s="7">
        <f>1-SUM(L34:L46)</f>
        <v>0.8453370889197751</v>
      </c>
      <c r="M33" s="7">
        <f>(1-M13)*M47/M48</f>
        <v>0.91639282698213831</v>
      </c>
    </row>
    <row r="34" spans="1:13" x14ac:dyDescent="0.35">
      <c r="A34" t="s">
        <v>72</v>
      </c>
      <c r="B34" t="s">
        <v>136</v>
      </c>
      <c r="C34" s="8"/>
      <c r="J34" s="3"/>
      <c r="K34" s="3"/>
      <c r="L34" s="7"/>
      <c r="M34" s="3"/>
    </row>
    <row r="35" spans="1:13" x14ac:dyDescent="0.35">
      <c r="A35" t="s">
        <v>73</v>
      </c>
      <c r="B35" t="s">
        <v>136</v>
      </c>
      <c r="C35" s="8"/>
      <c r="J35" s="3"/>
      <c r="K35" s="3"/>
      <c r="L35" s="7"/>
      <c r="M35" s="3"/>
    </row>
    <row r="36" spans="1:13" x14ac:dyDescent="0.35">
      <c r="A36" t="s">
        <v>74</v>
      </c>
      <c r="B36" t="s">
        <v>136</v>
      </c>
      <c r="C36" s="8"/>
      <c r="J36" s="3"/>
      <c r="K36" s="3"/>
      <c r="L36" s="7"/>
      <c r="M36" s="3"/>
    </row>
    <row r="37" spans="1:13" x14ac:dyDescent="0.35">
      <c r="A37" t="s">
        <v>75</v>
      </c>
      <c r="B37" t="s">
        <v>136</v>
      </c>
      <c r="C37" s="8"/>
      <c r="J37" s="3"/>
      <c r="K37" s="3"/>
      <c r="L37" s="7"/>
      <c r="M37" s="3"/>
    </row>
    <row r="38" spans="1:13" x14ac:dyDescent="0.35">
      <c r="A38" t="s">
        <v>76</v>
      </c>
      <c r="B38" t="s">
        <v>136</v>
      </c>
      <c r="C38" s="7">
        <f>0.061389/(14617/3600+0.061389+0.039065)</f>
        <v>1.4754375739353115E-2</v>
      </c>
      <c r="J38" s="3">
        <f>J87/J$48</f>
        <v>0.40237310895234285</v>
      </c>
      <c r="K38" s="3">
        <f>K87/K$48</f>
        <v>0.50251800455266082</v>
      </c>
      <c r="L38" s="7">
        <f>L87/L$48</f>
        <v>1.8044558171523548E-2</v>
      </c>
      <c r="M38" s="7">
        <f>M87/M$48</f>
        <v>7.3107748936988376E-2</v>
      </c>
    </row>
    <row r="39" spans="1:13" x14ac:dyDescent="0.35">
      <c r="A39" t="s">
        <v>77</v>
      </c>
      <c r="B39" t="s">
        <v>136</v>
      </c>
      <c r="C39" s="8"/>
      <c r="J39" s="3"/>
      <c r="K39" s="3"/>
      <c r="L39" s="7">
        <f>0.63*L88/L48</f>
        <v>1.9790886475996885E-2</v>
      </c>
      <c r="M39" s="3"/>
    </row>
    <row r="40" spans="1:13" x14ac:dyDescent="0.35">
      <c r="A40" t="s">
        <v>78</v>
      </c>
      <c r="B40" t="s">
        <v>136</v>
      </c>
      <c r="C40" s="8"/>
      <c r="J40" s="3"/>
      <c r="K40" s="3"/>
      <c r="L40" s="7"/>
      <c r="M40" s="3"/>
    </row>
    <row r="41" spans="1:13" x14ac:dyDescent="0.35">
      <c r="A41" t="s">
        <v>79</v>
      </c>
      <c r="B41" t="s">
        <v>136</v>
      </c>
      <c r="C41" s="8"/>
      <c r="J41" s="3"/>
      <c r="K41" s="3"/>
      <c r="L41" s="7"/>
      <c r="M41" s="3"/>
    </row>
    <row r="42" spans="1:13" x14ac:dyDescent="0.35">
      <c r="A42" t="s">
        <v>80</v>
      </c>
      <c r="B42" t="s">
        <v>136</v>
      </c>
      <c r="C42" s="8"/>
      <c r="J42" s="3"/>
      <c r="K42" s="3"/>
      <c r="L42" s="7">
        <f>0.41*L91/L48</f>
        <v>6.0518237882236448E-3</v>
      </c>
      <c r="M42" s="3"/>
    </row>
    <row r="43" spans="1:13" x14ac:dyDescent="0.35">
      <c r="A43" t="s">
        <v>81</v>
      </c>
      <c r="B43" t="s">
        <v>136</v>
      </c>
      <c r="C43" s="7">
        <f>0.039065/(14617/3600+0.061389+0.039065)</f>
        <v>9.3889734033430986E-3</v>
      </c>
      <c r="J43" s="3">
        <f t="shared" ref="J43:L43" si="1">J92/J$48</f>
        <v>0.22756258756736331</v>
      </c>
      <c r="K43" s="3">
        <f t="shared" si="1"/>
        <v>5.8773004892713157E-2</v>
      </c>
      <c r="L43" s="7">
        <f t="shared" si="1"/>
        <v>7.0578087386807191E-4</v>
      </c>
      <c r="M43" s="7">
        <f>M100/M$48</f>
        <v>1.0499424080873444E-2</v>
      </c>
    </row>
    <row r="44" spans="1:13" x14ac:dyDescent="0.35">
      <c r="A44" t="s">
        <v>82</v>
      </c>
      <c r="B44" t="s">
        <v>136</v>
      </c>
      <c r="C44" s="8"/>
      <c r="J44" s="3"/>
      <c r="K44" s="3"/>
      <c r="L44" s="7"/>
      <c r="M44" s="3"/>
    </row>
    <row r="45" spans="1:13" x14ac:dyDescent="0.35">
      <c r="A45" t="s">
        <v>83</v>
      </c>
      <c r="B45" t="s">
        <v>136</v>
      </c>
      <c r="C45" s="8"/>
      <c r="J45" s="3"/>
      <c r="K45" s="3"/>
      <c r="L45" s="7">
        <f>(1-0.146-0.042)*0.63/0.146*L88/L48</f>
        <v>0.11006986177061281</v>
      </c>
      <c r="M45" s="3"/>
    </row>
    <row r="46" spans="1:13" x14ac:dyDescent="0.35">
      <c r="A46" t="s">
        <v>84</v>
      </c>
      <c r="B46" t="s">
        <v>136</v>
      </c>
      <c r="C46" s="8"/>
      <c r="J46" s="3"/>
      <c r="K46" s="3"/>
      <c r="L46" s="7"/>
      <c r="M46" s="3"/>
    </row>
    <row r="47" spans="1:13" x14ac:dyDescent="0.35">
      <c r="A47" t="s">
        <v>137</v>
      </c>
      <c r="B47" t="s">
        <v>138</v>
      </c>
      <c r="C47" s="12">
        <f>30*0.000000016667*101325*'Base operation parameters'!D47*1000/(8314*(273.15))</f>
        <v>6.2488303891225335E-7</v>
      </c>
      <c r="J47" s="12">
        <f>28.5*0.000000016667*101325*'Base operation parameters'!D47*1000/(8314*(273.15))</f>
        <v>5.9363888696664082E-7</v>
      </c>
      <c r="K47" s="12">
        <f>28.5*0.000000016667*101325*'Base operation parameters'!D47*1000/(8314*(273.15))</f>
        <v>5.9363888696664082E-7</v>
      </c>
      <c r="L47" s="2">
        <f>30*0.000000016667*101325*'Base operation parameters'!$D$47*1000/(8314*(273.15))</f>
        <v>6.2488303891225335E-7</v>
      </c>
      <c r="M47" s="2">
        <f>10*0.000000016667*101325*'Base operation parameters'!$D$47*1000/(8314*(273.15))</f>
        <v>2.0829434630408449E-7</v>
      </c>
    </row>
    <row r="48" spans="1:13" x14ac:dyDescent="0.35">
      <c r="A48" t="s">
        <v>139</v>
      </c>
      <c r="B48" t="s">
        <v>138</v>
      </c>
      <c r="C48" s="12">
        <f ca="1">C47*(1-C13)+C38*C48+C43*C48</f>
        <v>5.0587102143229238E-7</v>
      </c>
      <c r="E48" s="12"/>
      <c r="F48" s="11"/>
      <c r="J48" s="12">
        <f>(1-J13)*J47+J87+J92</f>
        <v>2.0051882922228832E-7</v>
      </c>
      <c r="K48" s="12">
        <f>(1-K13)*K47+K87+K92</f>
        <v>1.6779054810525414E-7</v>
      </c>
      <c r="L48" s="2">
        <f>(1-L13)*L47+L87+0.63*L88+0.41*L91+L92+(1-0.146-0.042)*0.63/0.146*L88</f>
        <v>6.3646124552629216E-7</v>
      </c>
      <c r="M48" s="2">
        <f>(1-M13)*M47+M100+M87</f>
        <v>1.3183289665658172E-7</v>
      </c>
    </row>
    <row r="49" spans="1:19" x14ac:dyDescent="0.35">
      <c r="A49" s="1" t="s">
        <v>140</v>
      </c>
      <c r="B49" t="s">
        <v>136</v>
      </c>
      <c r="C49" s="8"/>
    </row>
    <row r="50" spans="1:19" x14ac:dyDescent="0.35">
      <c r="A50" t="s">
        <v>71</v>
      </c>
      <c r="B50" t="s">
        <v>136</v>
      </c>
      <c r="C50" s="8"/>
      <c r="J50" s="7"/>
      <c r="K50" s="7"/>
      <c r="L50" s="7"/>
    </row>
    <row r="51" spans="1:19" x14ac:dyDescent="0.35">
      <c r="A51" t="s">
        <v>72</v>
      </c>
      <c r="B51" t="s">
        <v>136</v>
      </c>
      <c r="C51" s="8"/>
      <c r="J51" s="7"/>
      <c r="K51" s="7"/>
      <c r="L51" s="7"/>
    </row>
    <row r="52" spans="1:19" x14ac:dyDescent="0.35">
      <c r="A52" t="s">
        <v>73</v>
      </c>
      <c r="B52" t="s">
        <v>136</v>
      </c>
      <c r="C52" s="8"/>
      <c r="J52" s="7"/>
      <c r="K52" s="7"/>
      <c r="L52" s="7"/>
    </row>
    <row r="53" spans="1:19" x14ac:dyDescent="0.35">
      <c r="A53" t="s">
        <v>74</v>
      </c>
      <c r="B53" t="s">
        <v>136</v>
      </c>
      <c r="C53" s="8"/>
      <c r="J53" s="7"/>
      <c r="K53" s="7"/>
      <c r="L53" s="7"/>
    </row>
    <row r="54" spans="1:19" x14ac:dyDescent="0.35">
      <c r="A54" t="s">
        <v>75</v>
      </c>
      <c r="B54" t="s">
        <v>136</v>
      </c>
      <c r="C54" s="8"/>
      <c r="J54" s="7">
        <f>J86/J65</f>
        <v>8.8621596744480492E-3</v>
      </c>
      <c r="K54" s="7">
        <f>K86/K65</f>
        <v>5.8916250615261376E-3</v>
      </c>
      <c r="L54" s="7">
        <f>L86/L65</f>
        <v>1.9199192805251703E-3</v>
      </c>
      <c r="M54" s="7">
        <f>M86/$M$65</f>
        <v>0.11225678879562009</v>
      </c>
    </row>
    <row r="55" spans="1:19" x14ac:dyDescent="0.35">
      <c r="A55" t="s">
        <v>76</v>
      </c>
      <c r="B55" t="s">
        <v>136</v>
      </c>
      <c r="C55" s="8"/>
      <c r="J55" s="7"/>
      <c r="K55" s="7"/>
      <c r="L55" s="7"/>
    </row>
    <row r="56" spans="1:19" x14ac:dyDescent="0.35">
      <c r="A56" t="s">
        <v>77</v>
      </c>
      <c r="B56" t="s">
        <v>136</v>
      </c>
      <c r="C56" s="8"/>
      <c r="J56" s="7">
        <f>J88/J$65</f>
        <v>6.4865232384270699E-4</v>
      </c>
      <c r="K56" s="7">
        <f>K88/K$65</f>
        <v>7.2775022377552512E-4</v>
      </c>
      <c r="L56" s="7">
        <f>(1-0.63)*L88/L65</f>
        <v>8.5308318328290928E-4</v>
      </c>
    </row>
    <row r="57" spans="1:19" x14ac:dyDescent="0.35">
      <c r="A57" t="s">
        <v>78</v>
      </c>
      <c r="B57" t="s">
        <v>136</v>
      </c>
      <c r="C57" s="8"/>
      <c r="J57" s="7"/>
      <c r="K57" s="7"/>
      <c r="L57" s="7"/>
    </row>
    <row r="58" spans="1:19" x14ac:dyDescent="0.35">
      <c r="A58" t="s">
        <v>79</v>
      </c>
      <c r="B58" t="s">
        <v>136</v>
      </c>
      <c r="C58" s="8"/>
      <c r="J58" s="7"/>
      <c r="K58" s="7"/>
      <c r="L58" s="7"/>
      <c r="M58" t="s">
        <v>141</v>
      </c>
    </row>
    <row r="59" spans="1:19" x14ac:dyDescent="0.35">
      <c r="A59" t="s">
        <v>80</v>
      </c>
      <c r="B59" t="s">
        <v>136</v>
      </c>
      <c r="C59" s="8"/>
      <c r="J59" s="7">
        <f t="shared" ref="J59" si="2">J91/J$65</f>
        <v>2.0707460248679151E-4</v>
      </c>
      <c r="K59" s="7">
        <f>K91/K$65</f>
        <v>6.2812863053739968E-4</v>
      </c>
      <c r="L59" s="7">
        <f>(1-0.41)*L91/L65</f>
        <v>6.3917442241302985E-4</v>
      </c>
      <c r="M59" s="7">
        <f>M91/$M$65</f>
        <v>6.3435844034491285E-3</v>
      </c>
    </row>
    <row r="60" spans="1:19" x14ac:dyDescent="0.35">
      <c r="A60" t="s">
        <v>81</v>
      </c>
      <c r="B60" t="s">
        <v>136</v>
      </c>
      <c r="C60" s="8"/>
      <c r="J60" s="7"/>
      <c r="K60" s="7"/>
      <c r="L60" s="7"/>
    </row>
    <row r="61" spans="1:19" x14ac:dyDescent="0.35">
      <c r="A61" t="s">
        <v>82</v>
      </c>
      <c r="B61" t="s">
        <v>136</v>
      </c>
      <c r="C61" s="7">
        <f>C97/SUM($C$97:$C$98)</f>
        <v>1.11804774230367E-3</v>
      </c>
      <c r="J61" s="7">
        <f>J101/J65</f>
        <v>1.1406317221963521E-2</v>
      </c>
      <c r="K61" s="7">
        <f>K101/K65</f>
        <v>7.601359371464932E-3</v>
      </c>
      <c r="L61" s="7">
        <f>L101/L65</f>
        <v>9.5610460145862403E-3</v>
      </c>
      <c r="M61" s="7">
        <f>M101/M65</f>
        <v>0.13827505446642913</v>
      </c>
    </row>
    <row r="62" spans="1:19" x14ac:dyDescent="0.35">
      <c r="A62" t="s">
        <v>83</v>
      </c>
      <c r="B62" t="s">
        <v>136</v>
      </c>
      <c r="C62" s="7">
        <f>C98/SUM($C$97:$C$98)</f>
        <v>0.99888195225769627</v>
      </c>
      <c r="J62" s="7"/>
      <c r="K62" s="7"/>
      <c r="L62" s="7"/>
    </row>
    <row r="63" spans="1:19" x14ac:dyDescent="0.35">
      <c r="A63" t="s">
        <v>84</v>
      </c>
      <c r="B63" t="s">
        <v>136</v>
      </c>
      <c r="C63" s="8"/>
      <c r="J63" s="7"/>
      <c r="K63" s="7"/>
      <c r="L63" s="7"/>
      <c r="S63" s="147"/>
    </row>
    <row r="64" spans="1:19" x14ac:dyDescent="0.35">
      <c r="A64" t="s">
        <v>137</v>
      </c>
      <c r="B64" t="s">
        <v>138</v>
      </c>
      <c r="C64" s="146">
        <f>4/1000/60</f>
        <v>6.666666666666667E-5</v>
      </c>
      <c r="J64" s="12">
        <f>0.005/60*1.042</f>
        <v>8.6833333333333334E-5</v>
      </c>
      <c r="K64" s="12">
        <f>0.005/60*1.042</f>
        <v>8.6833333333333334E-5</v>
      </c>
      <c r="L64" s="12">
        <f>0.0005/60*1.042</f>
        <v>8.6833333333333338E-6</v>
      </c>
      <c r="M64">
        <f>0.04*1.13/(24*3600)</f>
        <v>5.2314814814814815E-7</v>
      </c>
    </row>
    <row r="65" spans="1:13" x14ac:dyDescent="0.35">
      <c r="A65" t="s">
        <v>139</v>
      </c>
      <c r="B65" t="s">
        <v>138</v>
      </c>
      <c r="C65" s="12">
        <f>C64-C11*C12/1000/'Base operation parameters'!C1*'Base operation parameters'!D59/2</f>
        <v>6.665726476069817E-5</v>
      </c>
      <c r="J65" s="12">
        <f>J64+J47-J48</f>
        <v>8.7226453391077687E-5</v>
      </c>
      <c r="K65" s="12">
        <f>K64+K47-K48</f>
        <v>8.725918167219473E-5</v>
      </c>
      <c r="L65" s="12">
        <f>L64+L47-L48</f>
        <v>8.6717551267192942E-6</v>
      </c>
      <c r="M65" s="2">
        <f>M47+M64-M48</f>
        <v>5.99609597795651E-7</v>
      </c>
    </row>
    <row r="66" spans="1:13" x14ac:dyDescent="0.35">
      <c r="A66" s="1" t="s">
        <v>142</v>
      </c>
      <c r="B66" t="s">
        <v>136</v>
      </c>
      <c r="C66" s="8"/>
    </row>
    <row r="67" spans="1:13" x14ac:dyDescent="0.35">
      <c r="A67" t="s">
        <v>71</v>
      </c>
      <c r="B67" t="s">
        <v>136</v>
      </c>
      <c r="C67" s="8"/>
    </row>
    <row r="68" spans="1:13" x14ac:dyDescent="0.35">
      <c r="A68" t="s">
        <v>72</v>
      </c>
      <c r="B68" t="s">
        <v>136</v>
      </c>
      <c r="C68" s="8"/>
    </row>
    <row r="69" spans="1:13" x14ac:dyDescent="0.35">
      <c r="A69" t="s">
        <v>73</v>
      </c>
      <c r="B69" t="s">
        <v>136</v>
      </c>
      <c r="C69" s="8"/>
    </row>
    <row r="70" spans="1:13" x14ac:dyDescent="0.35">
      <c r="A70" t="s">
        <v>74</v>
      </c>
      <c r="B70" t="s">
        <v>136</v>
      </c>
      <c r="C70" s="8"/>
    </row>
    <row r="71" spans="1:13" x14ac:dyDescent="0.35">
      <c r="A71" t="s">
        <v>75</v>
      </c>
      <c r="B71" t="s">
        <v>136</v>
      </c>
      <c r="C71" s="8">
        <f>0.77*'Base operation parameters'!D52/1.05</f>
        <v>4.4038133333333333E-2</v>
      </c>
    </row>
    <row r="72" spans="1:13" x14ac:dyDescent="0.35">
      <c r="A72" t="s">
        <v>76</v>
      </c>
      <c r="B72" t="s">
        <v>136</v>
      </c>
      <c r="C72" s="8"/>
    </row>
    <row r="73" spans="1:13" x14ac:dyDescent="0.35">
      <c r="A73" t="s">
        <v>77</v>
      </c>
      <c r="B73" t="s">
        <v>136</v>
      </c>
      <c r="C73" s="8">
        <f ca="1">C93*(C71+C73+C76)</f>
        <v>3.2301204415979222E-3</v>
      </c>
    </row>
    <row r="74" spans="1:13" x14ac:dyDescent="0.35">
      <c r="A74" t="s">
        <v>78</v>
      </c>
      <c r="B74" t="s">
        <v>136</v>
      </c>
      <c r="C74" s="8"/>
    </row>
    <row r="75" spans="1:13" x14ac:dyDescent="0.35">
      <c r="A75" t="s">
        <v>79</v>
      </c>
      <c r="B75" t="s">
        <v>136</v>
      </c>
      <c r="C75" s="8"/>
    </row>
    <row r="76" spans="1:13" x14ac:dyDescent="0.35">
      <c r="A76" t="s">
        <v>80</v>
      </c>
      <c r="B76" t="s">
        <v>136</v>
      </c>
      <c r="C76" s="8">
        <f ca="1">C94*(C71+C73+C76)</f>
        <v>1.6630054843280024E-3</v>
      </c>
    </row>
    <row r="77" spans="1:13" x14ac:dyDescent="0.35">
      <c r="A77" t="s">
        <v>81</v>
      </c>
      <c r="B77" t="s">
        <v>136</v>
      </c>
      <c r="C77" s="8"/>
    </row>
    <row r="78" spans="1:13" x14ac:dyDescent="0.35">
      <c r="A78" t="s">
        <v>82</v>
      </c>
      <c r="B78" t="s">
        <v>136</v>
      </c>
      <c r="C78" s="8"/>
    </row>
    <row r="79" spans="1:13" x14ac:dyDescent="0.35">
      <c r="A79" t="s">
        <v>83</v>
      </c>
      <c r="B79" t="s">
        <v>136</v>
      </c>
      <c r="C79" s="8">
        <f ca="1">1-SUM(C67:C77)</f>
        <v>0.95106874074074077</v>
      </c>
    </row>
    <row r="80" spans="1:13" x14ac:dyDescent="0.35">
      <c r="A80" t="s">
        <v>84</v>
      </c>
      <c r="B80" t="s">
        <v>136</v>
      </c>
      <c r="C80" s="8"/>
    </row>
    <row r="81" spans="1:13" x14ac:dyDescent="0.35">
      <c r="A81" t="s">
        <v>137</v>
      </c>
      <c r="B81" t="s">
        <v>138</v>
      </c>
      <c r="C81" s="13">
        <f>50/3600/1000</f>
        <v>1.3888888888888888E-5</v>
      </c>
    </row>
    <row r="82" spans="1:13" x14ac:dyDescent="0.35">
      <c r="A82" t="s">
        <v>139</v>
      </c>
      <c r="B82" t="s">
        <v>138</v>
      </c>
      <c r="C82" s="13">
        <f ca="1">(C47+C64+C81)-(C48+C65)</f>
        <v>1.401730281233735E-5</v>
      </c>
      <c r="D82" s="13"/>
    </row>
    <row r="83" spans="1:13" x14ac:dyDescent="0.35">
      <c r="C83" s="2"/>
    </row>
    <row r="85" spans="1:13" ht="43.5" x14ac:dyDescent="0.35">
      <c r="A85" s="1" t="s">
        <v>143</v>
      </c>
      <c r="I85" t="s">
        <v>144</v>
      </c>
      <c r="J85" t="s">
        <v>138</v>
      </c>
      <c r="M85" s="23" t="s">
        <v>145</v>
      </c>
    </row>
    <row r="86" spans="1:13" x14ac:dyDescent="0.35">
      <c r="B86" t="s">
        <v>146</v>
      </c>
      <c r="C86" t="s">
        <v>147</v>
      </c>
      <c r="I86" t="s">
        <v>75</v>
      </c>
      <c r="J86" s="2">
        <f>J23*J$11/1000*J$12/('Base operation parameters'!$J52*'Base operation parameters'!$C$1)*'Base operation parameters'!$D52</f>
        <v>7.7301475778753101E-7</v>
      </c>
      <c r="K86" s="2">
        <f>K23*K$11/1000*K$12/('Base operation parameters'!$J52*'Base operation parameters'!$C$1)*'Base operation parameters'!$D52</f>
        <v>5.1409838158816468E-7</v>
      </c>
      <c r="L86" s="2">
        <f>L23*L$11/1000*L$12/('Base operation parameters'!$J52*'Base operation parameters'!$C$1)*'Base operation parameters'!$D52</f>
        <v>1.6649069863781364E-8</v>
      </c>
      <c r="M86" s="2">
        <f>M13*10*0.000000016667*101325*1000/(8314*(273.15))*0.73/2*('Base operation parameters'!D52-0.5*'Base operation parameters'!D59)</f>
        <v>6.731024797957311E-8</v>
      </c>
    </row>
    <row r="87" spans="1:13" x14ac:dyDescent="0.35">
      <c r="B87" t="s">
        <v>75</v>
      </c>
      <c r="C87" s="8">
        <f>(C23/'Base operation parameters'!E52/(($C$23/'Base operation parameters'!$E$52+$C$25/'Base operation parameters'!$E$55+$C$28/'Base operation parameters'!$E$58)))</f>
        <v>0.87814230933106097</v>
      </c>
      <c r="I87" t="s">
        <v>76</v>
      </c>
      <c r="J87" s="2">
        <f>J24*J$11/1000*J$12/('Base operation parameters'!$J54*'Base operation parameters'!$C$1)*'Base operation parameters'!$D54</f>
        <v>8.0683384717656048E-8</v>
      </c>
      <c r="K87" s="2">
        <f>K24*K$11/1000*K$12/('Base operation parameters'!$J54*'Base operation parameters'!$C$1)*'Base operation parameters'!$D54</f>
        <v>8.4317771416649555E-8</v>
      </c>
      <c r="L87" s="2">
        <f>L24*L$11/1000*L$12/('Base operation parameters'!$J54*'Base operation parameters'!$C$1)*'Base operation parameters'!$D54</f>
        <v>1.1484661968819511E-8</v>
      </c>
      <c r="M87" s="2">
        <f>M13*10*0.000000016667*101325*1000/(8314*(273.15))*0.22/2*'Base operation parameters'!D54</f>
        <v>9.6380063104053104E-9</v>
      </c>
    </row>
    <row r="88" spans="1:13" x14ac:dyDescent="0.35">
      <c r="B88" t="s">
        <v>77</v>
      </c>
      <c r="C88" s="8">
        <f>(C25/'Base operation parameters'!E55/(($C$23/'Base operation parameters'!$E$52+$C$25/'Base operation parameters'!$E$55+$C$28/'Base operation parameters'!$E$58)))</f>
        <v>8.4363016616957831E-2</v>
      </c>
      <c r="I88" t="s">
        <v>77</v>
      </c>
      <c r="J88" s="2">
        <f>J25*J$11/1000*J$12/('Base operation parameters'!$J55*'Base operation parameters'!$C$1)*'Base operation parameters'!$D55</f>
        <v>5.6579641692680114E-8</v>
      </c>
      <c r="K88" s="2">
        <f>K25*K$11/1000*K$12/('Base operation parameters'!$J55*'Base operation parameters'!$C$1)*'Base operation parameters'!$D55</f>
        <v>6.3502888988408914E-8</v>
      </c>
      <c r="L88" s="2">
        <f>L25*L$11/1000*L$12/('Base operation parameters'!$J55*'Base operation parameters'!$C$1)*'Base operation parameters'!$D55</f>
        <v>1.9993860724734011E-8</v>
      </c>
    </row>
    <row r="89" spans="1:13" x14ac:dyDescent="0.35">
      <c r="B89" t="s">
        <v>80</v>
      </c>
      <c r="C89" s="8">
        <f>(C28/'Base operation parameters'!E58/(($C$23/'Base operation parameters'!$E$52+$C$25/'Base operation parameters'!$E$55+$C$28/'Base operation parameters'!$E$58)))</f>
        <v>3.7494674051981258E-2</v>
      </c>
      <c r="I89" t="s">
        <v>78</v>
      </c>
      <c r="J89" s="2"/>
      <c r="K89" s="2"/>
    </row>
    <row r="90" spans="1:13" x14ac:dyDescent="0.35">
      <c r="I90" t="s">
        <v>79</v>
      </c>
      <c r="J90" s="2"/>
      <c r="K90" s="2"/>
      <c r="M90" t="s">
        <v>141</v>
      </c>
    </row>
    <row r="91" spans="1:13" x14ac:dyDescent="0.35">
      <c r="B91" t="s">
        <v>146</v>
      </c>
      <c r="C91" t="s">
        <v>148</v>
      </c>
      <c r="I91" t="s">
        <v>80</v>
      </c>
      <c r="J91" s="2">
        <f>J28*J$11/1000*J$12/('Base operation parameters'!$J58*'Base operation parameters'!$C$1)*'Base operation parameters'!$D58</f>
        <v>1.806238316229006E-8</v>
      </c>
      <c r="K91" s="2">
        <f>K28*K$11/1000*K$12/('Base operation parameters'!$J58*'Base operation parameters'!$C$1)*'Base operation parameters'!$D58</f>
        <v>5.4809990285569842E-8</v>
      </c>
      <c r="L91" s="2">
        <f>L28*L$11/1000*L$12/('Base operation parameters'!$J58*'Base operation parameters'!$C$1)*'Base operation parameters'!$D58</f>
        <v>9.3945153803864989E-9</v>
      </c>
      <c r="M91" s="2">
        <f>M13*10*0.000000016667*101325*1000/(8314*(273.15))*0.05/3*('Base operation parameters'!D65-0.5*'Base operation parameters'!D59)</f>
        <v>3.8036740927348967E-9</v>
      </c>
    </row>
    <row r="92" spans="1:13" x14ac:dyDescent="0.35">
      <c r="B92" t="s">
        <v>75</v>
      </c>
      <c r="C92" s="7">
        <v>0.9</v>
      </c>
      <c r="I92" t="s">
        <v>81</v>
      </c>
      <c r="J92" s="2">
        <f>J29*J$11/1000*J$12/('Base operation parameters'!$J59*'Base operation parameters'!$C$1)*'Base operation parameters'!$D59</f>
        <v>4.5630583633802153E-8</v>
      </c>
      <c r="K92" s="2">
        <f>K29*K$11/1000*K$12/('Base operation parameters'!$J59*'Base operation parameters'!$C$1)*'Base operation parameters'!$D59</f>
        <v>9.8615547047411242E-9</v>
      </c>
      <c r="L92" s="2">
        <f>L29*L$11/1000*L$12/('Base operation parameters'!$J59*'Base operation parameters'!$C$1)*'Base operation parameters'!$D59</f>
        <v>4.4920217405070797E-10</v>
      </c>
    </row>
    <row r="93" spans="1:13" x14ac:dyDescent="0.35">
      <c r="B93" t="s">
        <v>77</v>
      </c>
      <c r="C93" s="7">
        <f>C88*'Base operation parameters'!D55/($C$87*'Base operation parameters'!$D$52+'Literature comparison'!$C$88*'Base operation parameters'!$D$55+'Literature comparison'!$C$89*'Base operation parameters'!D58)</f>
        <v>6.6013433753734571E-2</v>
      </c>
      <c r="I93" t="s">
        <v>149</v>
      </c>
      <c r="M93" t="s">
        <v>150</v>
      </c>
    </row>
    <row r="94" spans="1:13" x14ac:dyDescent="0.35">
      <c r="B94" t="s">
        <v>80</v>
      </c>
      <c r="C94" s="8">
        <f>1-C92-C93</f>
        <v>3.3986566246265407E-2</v>
      </c>
      <c r="I94" t="s">
        <v>75</v>
      </c>
      <c r="M94" s="2">
        <f>M23*M$11/1000*M$12/('Base operation parameters'!$J52*'Base operation parameters'!$C$1)*'Base operation parameters'!$D52</f>
        <v>7.7176996751734173E-8</v>
      </c>
    </row>
    <row r="95" spans="1:13" x14ac:dyDescent="0.35">
      <c r="I95" t="s">
        <v>76</v>
      </c>
      <c r="M95" s="2">
        <f>M24*M$11/1000*M$12/('Base operation parameters'!$J54*'Base operation parameters'!$C$1)*'Base operation parameters'!$D54</f>
        <v>1.0677828121642947E-8</v>
      </c>
    </row>
    <row r="96" spans="1:13" x14ac:dyDescent="0.35">
      <c r="B96" t="s">
        <v>114</v>
      </c>
      <c r="C96" t="s">
        <v>138</v>
      </c>
      <c r="I96" t="s">
        <v>77</v>
      </c>
      <c r="M96" s="2">
        <f>M25*M$11/1000*M$12/('Base operation parameters'!$J55*'Base operation parameters'!$C$1)*'Base operation parameters'!$D55</f>
        <v>0</v>
      </c>
    </row>
    <row r="97" spans="2:13" x14ac:dyDescent="0.35">
      <c r="B97" t="s">
        <v>82</v>
      </c>
      <c r="C97" s="12">
        <f>C11/1000/('Base operation parameters'!E60*'Base operation parameters'!C1)*'Base operation parameters'!D60</f>
        <v>7.4619944814408571E-8</v>
      </c>
      <c r="I97" t="s">
        <v>78</v>
      </c>
      <c r="M97" s="2">
        <f>M26*M$11/1000*M$12/('Base operation parameters'!$J56*'Base operation parameters'!$C$1)*'Base operation parameters'!$D56</f>
        <v>0</v>
      </c>
    </row>
    <row r="98" spans="2:13" x14ac:dyDescent="0.35">
      <c r="B98" t="s">
        <v>115</v>
      </c>
      <c r="C98" s="12">
        <f>4/1000/60</f>
        <v>6.666666666666667E-5</v>
      </c>
      <c r="I98" t="s">
        <v>79</v>
      </c>
      <c r="M98" s="2" t="e">
        <f>M27*M$11/1000*M$12/('Base operation parameters'!$J57*'Base operation parameters'!$C$1)*'Base operation parameters'!$D57</f>
        <v>#DIV/0!</v>
      </c>
    </row>
    <row r="99" spans="2:13" x14ac:dyDescent="0.35">
      <c r="I99" t="s">
        <v>80</v>
      </c>
      <c r="M99" s="2">
        <f>M28*M$11/1000*M$12/('Base operation parameters'!$J58*'Base operation parameters'!$C$1)*'Base operation parameters'!$D58</f>
        <v>0</v>
      </c>
    </row>
    <row r="100" spans="2:13" x14ac:dyDescent="0.35">
      <c r="I100" t="s">
        <v>81</v>
      </c>
      <c r="M100" s="2">
        <f>M29*M$11/1000*M$12/('Base operation parameters'!$J59*'Base operation parameters'!$C$1)*'Base operation parameters'!$D59</f>
        <v>1.3841694898074141E-9</v>
      </c>
    </row>
    <row r="101" spans="2:13" x14ac:dyDescent="0.35">
      <c r="I101" t="s">
        <v>82</v>
      </c>
      <c r="J101" s="2">
        <f>J$11*J$12/1000/('Base operation parameters'!$E$60*'Base operation parameters'!$C$1)*'Base operation parameters'!$D$60</f>
        <v>9.9493259752544776E-7</v>
      </c>
      <c r="K101" s="2">
        <f>K$11*K$12/1000/('Base operation parameters'!$E$60*'Base operation parameters'!$C$1)*'Base operation parameters'!$D$60</f>
        <v>6.6328839835029843E-7</v>
      </c>
      <c r="L101" s="2">
        <f>L$11*L$12/1000/('Base operation parameters'!$E$60*'Base operation parameters'!$C$1)*'Base operation parameters'!$D$60</f>
        <v>8.2911049793787304E-8</v>
      </c>
      <c r="M101" s="2">
        <f>M$11*M$12/1000/('Base operation parameters'!$E$60*'Base operation parameters'!$C$1)*'Base operation parameters'!$D$60</f>
        <v>8.2911049793787304E-8</v>
      </c>
    </row>
    <row r="116" spans="15:17" x14ac:dyDescent="0.35">
      <c r="O116" s="110"/>
      <c r="P116" s="1"/>
      <c r="Q116" s="1"/>
    </row>
    <row r="117" spans="15:17" x14ac:dyDescent="0.35">
      <c r="P117" s="2"/>
      <c r="Q117" s="2"/>
    </row>
    <row r="118" spans="15:17" x14ac:dyDescent="0.35">
      <c r="P118" s="2"/>
      <c r="Q118" s="2"/>
    </row>
    <row r="121" spans="15:17" x14ac:dyDescent="0.35">
      <c r="P121" s="2"/>
      <c r="Q121" s="2"/>
    </row>
    <row r="122" spans="15:17" x14ac:dyDescent="0.35">
      <c r="P122" s="2"/>
      <c r="Q122" s="2"/>
    </row>
    <row r="123" spans="15:17" x14ac:dyDescent="0.35">
      <c r="P123" s="2"/>
      <c r="Q123" s="2"/>
    </row>
    <row r="126" spans="15:17" x14ac:dyDescent="0.35">
      <c r="P126" s="2"/>
      <c r="Q126" s="2"/>
    </row>
    <row r="127" spans="15:17" x14ac:dyDescent="0.35">
      <c r="P127" s="2"/>
      <c r="Q127" s="2"/>
    </row>
    <row r="128" spans="15:17" x14ac:dyDescent="0.35">
      <c r="P128" s="2"/>
      <c r="Q128" s="2"/>
    </row>
    <row r="132" spans="15:16" x14ac:dyDescent="0.35">
      <c r="O132" t="s">
        <v>868</v>
      </c>
      <c r="P132" s="2" t="e">
        <f>(P99-P100)/P99</f>
        <v>#DIV/0!</v>
      </c>
    </row>
  </sheetData>
  <mergeCells count="8">
    <mergeCell ref="P11:Q11"/>
    <mergeCell ref="P12:Q12"/>
    <mergeCell ref="J16:K16"/>
    <mergeCell ref="D4:E4"/>
    <mergeCell ref="J4:K4"/>
    <mergeCell ref="J5:K5"/>
    <mergeCell ref="J6:K6"/>
    <mergeCell ref="J7:K7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4F3E-164E-420C-88F8-5FE40AFAF132}">
  <dimension ref="A1:M148"/>
  <sheetViews>
    <sheetView topLeftCell="A122" zoomScale="70" zoomScaleNormal="70" workbookViewId="0"/>
  </sheetViews>
  <sheetFormatPr defaultRowHeight="14.5" x14ac:dyDescent="0.35"/>
  <cols>
    <col min="1" max="1" width="22.81640625" customWidth="1"/>
    <col min="3" max="3" width="17.6328125" bestFit="1" customWidth="1"/>
    <col min="4" max="4" width="12.81640625" customWidth="1"/>
    <col min="5" max="5" width="19.453125" customWidth="1"/>
    <col min="6" max="6" width="14" customWidth="1"/>
    <col min="7" max="7" width="18.08984375" bestFit="1" customWidth="1"/>
    <col min="8" max="8" width="16.54296875" bestFit="1" customWidth="1"/>
    <col min="9" max="9" width="13.6328125" bestFit="1" customWidth="1"/>
    <col min="10" max="10" width="20.7265625" customWidth="1"/>
    <col min="11" max="11" width="10.453125" bestFit="1" customWidth="1"/>
    <col min="12" max="12" width="14.453125" bestFit="1" customWidth="1"/>
    <col min="13" max="13" width="12.81640625" bestFit="1" customWidth="1"/>
    <col min="16" max="16" width="9.453125" bestFit="1" customWidth="1"/>
  </cols>
  <sheetData>
    <row r="1" spans="1:6" x14ac:dyDescent="0.35">
      <c r="B1" t="s">
        <v>10</v>
      </c>
    </row>
    <row r="2" spans="1:6" x14ac:dyDescent="0.35">
      <c r="A2" s="1" t="s">
        <v>151</v>
      </c>
      <c r="C2" s="172" t="s">
        <v>93</v>
      </c>
      <c r="D2" s="172"/>
      <c r="E2" s="172" t="s">
        <v>101</v>
      </c>
      <c r="F2" s="172"/>
    </row>
    <row r="3" spans="1:6" x14ac:dyDescent="0.35">
      <c r="A3" s="1" t="s">
        <v>152</v>
      </c>
      <c r="C3" s="5"/>
    </row>
    <row r="4" spans="1:6" x14ac:dyDescent="0.35">
      <c r="A4" t="s">
        <v>153</v>
      </c>
      <c r="B4" s="1"/>
      <c r="C4" t="s">
        <v>154</v>
      </c>
      <c r="E4" t="str">
        <f>'Literature comparison'!M5</f>
        <v>Semi-batch-MEA-AEM</v>
      </c>
    </row>
    <row r="5" spans="1:6" x14ac:dyDescent="0.35">
      <c r="A5" t="s">
        <v>155</v>
      </c>
      <c r="B5" t="s">
        <v>156</v>
      </c>
      <c r="C5" s="10">
        <f>C23/(93255.6/(24*3600))*16241553</f>
        <v>33253863.713855192</v>
      </c>
      <c r="E5" s="10">
        <f>E23/('Literature comparison'!M13*'Literature comparison'!M47)*'Literature comparison'!M11/1000*'Literature comparison'!M12</f>
        <v>25260908.429343887</v>
      </c>
    </row>
    <row r="6" spans="1:6" ht="16.5" x14ac:dyDescent="0.35">
      <c r="A6" t="s">
        <v>157</v>
      </c>
      <c r="B6" t="s">
        <v>158</v>
      </c>
      <c r="C6" s="10">
        <f>C5/('Literature comparison'!C11/1000)/10000</f>
        <v>3694.8737459839099</v>
      </c>
      <c r="E6" s="11">
        <f>E5/('Literature comparison'!M11/1000)/10000</f>
        <v>12630.454214671943</v>
      </c>
    </row>
    <row r="7" spans="1:6" x14ac:dyDescent="0.35">
      <c r="A7" t="s">
        <v>159</v>
      </c>
      <c r="B7" t="s">
        <v>65</v>
      </c>
      <c r="C7" s="10">
        <f>ABS('Literature comparison'!C10)*Electrolyzer!C5*0.000001</f>
        <v>111.06790480427632</v>
      </c>
      <c r="E7" s="10">
        <f>ABS('Literature comparison'!M10)*Electrolyzer!E5*0.000001</f>
        <v>55.321389460263106</v>
      </c>
    </row>
    <row r="8" spans="1:6" x14ac:dyDescent="0.35">
      <c r="A8" t="s">
        <v>160</v>
      </c>
      <c r="B8" t="s">
        <v>65</v>
      </c>
      <c r="C8" s="10" t="e">
        <f>C7*(1-'Literature comparison'!C14)</f>
        <v>#VALUE!</v>
      </c>
      <c r="E8" s="10">
        <f>E7*(1-'Literature comparison'!M14)</f>
        <v>36.839476776045409</v>
      </c>
    </row>
    <row r="9" spans="1:6" x14ac:dyDescent="0.35">
      <c r="A9" t="s">
        <v>161</v>
      </c>
      <c r="C9" s="10">
        <f>C6/('Literature comparison'!C12/10000)</f>
        <v>36948737.459839098</v>
      </c>
      <c r="E9" s="10">
        <f>E6/('Literature comparison'!M12/10000)</f>
        <v>25260908.429343887</v>
      </c>
      <c r="F9" s="10"/>
    </row>
    <row r="10" spans="1:6" x14ac:dyDescent="0.35">
      <c r="A10" s="1" t="s">
        <v>38</v>
      </c>
      <c r="C10" s="10"/>
    </row>
    <row r="11" spans="1:6" x14ac:dyDescent="0.35">
      <c r="A11" t="s">
        <v>39</v>
      </c>
      <c r="B11" t="s">
        <v>29</v>
      </c>
      <c r="C11" s="10">
        <f>'Base operation parameters'!$C$22</f>
        <v>2</v>
      </c>
      <c r="E11" s="10">
        <f>'Base operation parameters'!$C$22</f>
        <v>2</v>
      </c>
    </row>
    <row r="12" spans="1:6" ht="16.5" x14ac:dyDescent="0.35">
      <c r="A12" t="s">
        <v>40</v>
      </c>
      <c r="B12" t="s">
        <v>41</v>
      </c>
      <c r="C12" s="10">
        <f>'Base operation parameters'!C23</f>
        <v>3000</v>
      </c>
      <c r="E12" s="10">
        <f>'Base operation parameters'!$C$23</f>
        <v>3000</v>
      </c>
    </row>
    <row r="13" spans="1:6" x14ac:dyDescent="0.35">
      <c r="A13" t="s">
        <v>43</v>
      </c>
      <c r="B13" t="s">
        <v>31</v>
      </c>
      <c r="C13" s="3">
        <f>'Base operation parameters'!C25</f>
        <v>0.7332461836426325</v>
      </c>
      <c r="E13" s="3">
        <f>'Base operation parameters'!$C$25</f>
        <v>0.7332461836426325</v>
      </c>
    </row>
    <row r="14" spans="1:6" x14ac:dyDescent="0.35">
      <c r="A14" t="s">
        <v>159</v>
      </c>
      <c r="B14" t="s">
        <v>65</v>
      </c>
      <c r="C14" s="10">
        <f>'Base operation parameters'!$C$28*Electrolyzer!C23</f>
        <v>30.449653547024571</v>
      </c>
      <c r="E14" s="2">
        <f>'Base operation parameters'!$C$28*Electrolyzer!E23</f>
        <v>30.449653547024571</v>
      </c>
    </row>
    <row r="15" spans="1:6" x14ac:dyDescent="0.35">
      <c r="A15" t="s">
        <v>160</v>
      </c>
      <c r="B15" t="s">
        <v>65</v>
      </c>
      <c r="C15" s="10">
        <f>(1-C13)*C14</f>
        <v>8.1225612904284556</v>
      </c>
      <c r="E15" s="33">
        <f>(1-E13)*E14</f>
        <v>8.1225612904284556</v>
      </c>
      <c r="F15" s="33"/>
    </row>
    <row r="16" spans="1:6" ht="16.5" x14ac:dyDescent="0.35">
      <c r="A16" t="s">
        <v>157</v>
      </c>
      <c r="B16" t="s">
        <v>158</v>
      </c>
      <c r="C16" s="10">
        <f>C14*1000000/(C11*C12/1000)/10000</f>
        <v>507.49422578374288</v>
      </c>
      <c r="E16" s="2">
        <f>E14*1000000/(E11*E12/1000)/10000</f>
        <v>507.49422578374288</v>
      </c>
    </row>
    <row r="17" spans="1:9" x14ac:dyDescent="0.35">
      <c r="A17" t="s">
        <v>162</v>
      </c>
      <c r="B17" t="s">
        <v>163</v>
      </c>
      <c r="C17" s="10">
        <f>'Base operation parameters'!$C$29*C14*1000*'Base operation parameters'!$C$14</f>
        <v>28482260.019822493</v>
      </c>
      <c r="E17" s="10">
        <f>'Base operation parameters'!$C$29*E14*1000*'Base operation parameters'!$C$14</f>
        <v>28482260.019822493</v>
      </c>
    </row>
    <row r="18" spans="1:9" x14ac:dyDescent="0.35">
      <c r="A18" t="s">
        <v>164</v>
      </c>
      <c r="B18" t="s">
        <v>165</v>
      </c>
      <c r="C18" s="10">
        <f>C14*1000*'Base operation parameters'!$C$8*'Base operation parameters'!$C$32</f>
        <v>12179861.418809831</v>
      </c>
      <c r="E18" s="10">
        <f>E14*1000*'Base operation parameters'!$C$8*'Base operation parameters'!$C$32</f>
        <v>12179861.418809831</v>
      </c>
    </row>
    <row r="19" spans="1:9" x14ac:dyDescent="0.35">
      <c r="A19" t="s">
        <v>50</v>
      </c>
      <c r="B19" t="s">
        <v>165</v>
      </c>
      <c r="C19" s="10">
        <f>C18/'Base operation parameters'!$C$30</f>
        <v>17399802.026871189</v>
      </c>
      <c r="E19" s="10">
        <f>E18/'Base operation parameters'!$C$30</f>
        <v>17399802.026871189</v>
      </c>
    </row>
    <row r="20" spans="1:9" ht="16.5" x14ac:dyDescent="0.45">
      <c r="A20" t="s">
        <v>354</v>
      </c>
      <c r="B20" t="s">
        <v>355</v>
      </c>
      <c r="C20" s="10"/>
      <c r="E20" s="33">
        <f>E15/(E23/'Base operation parameters'!D47/1000)</f>
        <v>102.95131999999998</v>
      </c>
      <c r="F20" s="13"/>
    </row>
    <row r="21" spans="1:9" x14ac:dyDescent="0.35">
      <c r="A21" s="1" t="s">
        <v>166</v>
      </c>
      <c r="B21" s="1"/>
      <c r="C21" s="10"/>
      <c r="D21" s="1" t="s">
        <v>167</v>
      </c>
    </row>
    <row r="22" spans="1:9" ht="16.5" x14ac:dyDescent="0.45">
      <c r="A22" t="s">
        <v>168</v>
      </c>
      <c r="B22" t="s">
        <v>138</v>
      </c>
      <c r="C22" s="10">
        <f>'Base operation parameters'!$C$6*1000000/'Base operation parameters'!$C$8/3600</f>
        <v>3.4722222222222223</v>
      </c>
      <c r="D22" s="10">
        <f>C22*3600</f>
        <v>12500</v>
      </c>
      <c r="E22" s="10">
        <f>'Base operation parameters'!$C$6*1000000/'Base operation parameters'!$C$8/3600</f>
        <v>3.4722222222222223</v>
      </c>
      <c r="F22" s="11">
        <f>E22*3600</f>
        <v>12500</v>
      </c>
    </row>
    <row r="23" spans="1:9" x14ac:dyDescent="0.35">
      <c r="A23" t="s">
        <v>169</v>
      </c>
      <c r="B23" t="s">
        <v>138</v>
      </c>
      <c r="C23" s="10">
        <f>C22/'Base operation parameters'!$D$62*'Base operation parameters'!$D$47</f>
        <v>2.2099158515017594</v>
      </c>
      <c r="D23" s="10">
        <f t="shared" ref="D23:D24" si="0">C23*3600</f>
        <v>7955.6970654063334</v>
      </c>
      <c r="E23" s="10">
        <f>E22/'Base operation parameters'!$D$62*'Base operation parameters'!$D$47</f>
        <v>2.2099158515017594</v>
      </c>
      <c r="F23" s="11">
        <f t="shared" ref="F23:F24" si="1">E23*3600</f>
        <v>7955.6970654063334</v>
      </c>
    </row>
    <row r="24" spans="1:9" x14ac:dyDescent="0.35">
      <c r="A24" t="s">
        <v>115</v>
      </c>
      <c r="B24" t="s">
        <v>138</v>
      </c>
      <c r="C24" s="10">
        <f ca="1">SUM(C35:C48)-C23</f>
        <v>0.91616193956739211</v>
      </c>
      <c r="D24" s="10">
        <f t="shared" ca="1" si="0"/>
        <v>3298.1829824426118</v>
      </c>
      <c r="F24" s="10">
        <f t="shared" si="1"/>
        <v>0</v>
      </c>
    </row>
    <row r="25" spans="1:9" x14ac:dyDescent="0.35">
      <c r="A25" t="s">
        <v>295</v>
      </c>
      <c r="B25" t="s">
        <v>138</v>
      </c>
      <c r="C25" s="10"/>
      <c r="D25" s="10"/>
      <c r="E25" s="13">
        <f>E109*'Base operation parameters'!D64</f>
        <v>1.7263621112108376</v>
      </c>
      <c r="F25" s="11">
        <f>E25*3600</f>
        <v>6214.9036003590154</v>
      </c>
    </row>
    <row r="26" spans="1:9" x14ac:dyDescent="0.35">
      <c r="A26" s="1" t="s">
        <v>170</v>
      </c>
      <c r="B26" s="1"/>
      <c r="C26" s="1" t="s">
        <v>171</v>
      </c>
      <c r="D26" s="1" t="s">
        <v>167</v>
      </c>
      <c r="E26" s="1" t="s">
        <v>171</v>
      </c>
      <c r="F26" s="1" t="s">
        <v>167</v>
      </c>
    </row>
    <row r="27" spans="1:9" x14ac:dyDescent="0.35">
      <c r="A27" t="s">
        <v>172</v>
      </c>
      <c r="B27" t="s">
        <v>138</v>
      </c>
      <c r="C27" s="10">
        <f ca="1">'Literature comparison'!C47/'Literature comparison'!C48*Electrolyzer!C30</f>
        <v>9.8264080053608538</v>
      </c>
      <c r="D27" s="10">
        <f ca="1">C27*3600</f>
        <v>35375.068819299071</v>
      </c>
      <c r="E27" s="10">
        <f>$E$9*'Literature comparison'!M47</f>
        <v>5.2617044083375228</v>
      </c>
      <c r="F27" s="11">
        <f>E27*3600</f>
        <v>18942.135870015081</v>
      </c>
      <c r="G27" s="10"/>
    </row>
    <row r="28" spans="1:9" x14ac:dyDescent="0.35">
      <c r="A28" t="s">
        <v>173</v>
      </c>
      <c r="B28" t="s">
        <v>138</v>
      </c>
      <c r="C28" s="10">
        <f ca="1">'Literature comparison'!C64/'Literature comparison'!C65*Electrolyzer!C31</f>
        <v>255.93469997488407</v>
      </c>
      <c r="D28" s="10">
        <f t="shared" ref="D28:D32" ca="1" si="2">C28*3600</f>
        <v>921364.91990958259</v>
      </c>
      <c r="E28" s="10">
        <f>$E$9*'Literature comparison'!M64</f>
        <v>13.215197465351201</v>
      </c>
      <c r="F28" s="11">
        <f t="shared" ref="F28:F31" si="3">E28*3600</f>
        <v>47574.710875264325</v>
      </c>
    </row>
    <row r="29" spans="1:9" x14ac:dyDescent="0.35">
      <c r="A29" t="s">
        <v>174</v>
      </c>
      <c r="B29" t="s">
        <v>138</v>
      </c>
      <c r="C29" s="10">
        <f ca="1">'Literature comparison'!C81/'Literature comparison'!C82*Electrolyzer!C32</f>
        <v>53.319729161434168</v>
      </c>
      <c r="D29" s="10">
        <f t="shared" ca="1" si="2"/>
        <v>191951.02498116301</v>
      </c>
      <c r="F29" s="10"/>
    </row>
    <row r="30" spans="1:9" x14ac:dyDescent="0.35">
      <c r="A30" t="s">
        <v>175</v>
      </c>
      <c r="B30" t="s">
        <v>138</v>
      </c>
      <c r="C30" s="10">
        <f>C45/'Literature comparison'!C43</f>
        <v>7.9549207533865669</v>
      </c>
      <c r="D30" s="10">
        <f t="shared" si="2"/>
        <v>28637.714712191642</v>
      </c>
      <c r="E30" s="10">
        <f>$E$9*'Literature comparison'!M48</f>
        <v>3.3302187304170667</v>
      </c>
      <c r="F30" s="11">
        <f t="shared" si="3"/>
        <v>11988.787429501441</v>
      </c>
      <c r="G30" s="23"/>
    </row>
    <row r="31" spans="1:9" x14ac:dyDescent="0.35">
      <c r="A31" t="s">
        <v>176</v>
      </c>
      <c r="B31" t="s">
        <v>138</v>
      </c>
      <c r="C31" s="10">
        <f ca="1">C32/'Literature comparison'!C82*'Literature comparison'!C65</f>
        <v>255.89860586513544</v>
      </c>
      <c r="D31" s="10">
        <f t="shared" ca="1" si="2"/>
        <v>921234.98111448763</v>
      </c>
      <c r="E31" s="10">
        <f>$E$9*'Literature comparison'!M65</f>
        <v>15.146683143271659</v>
      </c>
      <c r="F31" s="11">
        <f t="shared" si="3"/>
        <v>54528.059315777973</v>
      </c>
      <c r="H31" s="10"/>
      <c r="I31" s="10"/>
    </row>
    <row r="32" spans="1:9" x14ac:dyDescent="0.35">
      <c r="A32" t="s">
        <v>177</v>
      </c>
      <c r="B32" t="s">
        <v>138</v>
      </c>
      <c r="C32" s="10">
        <f>C39/'Literature comparison'!C71</f>
        <v>53.812712845989871</v>
      </c>
      <c r="D32" s="10">
        <f t="shared" si="2"/>
        <v>193725.76624556354</v>
      </c>
      <c r="G32" s="10"/>
      <c r="H32" s="10"/>
      <c r="I32" s="10"/>
    </row>
    <row r="33" spans="1:9" x14ac:dyDescent="0.35">
      <c r="A33" s="1"/>
      <c r="C33" s="10"/>
      <c r="D33" s="10"/>
      <c r="G33" s="10"/>
      <c r="H33" s="10"/>
      <c r="I33" s="10"/>
    </row>
    <row r="34" spans="1:9" x14ac:dyDescent="0.35">
      <c r="A34" s="1" t="s">
        <v>178</v>
      </c>
      <c r="C34" s="10"/>
      <c r="D34" s="10"/>
      <c r="G34" s="10"/>
      <c r="H34" s="10"/>
      <c r="I34" s="10"/>
    </row>
    <row r="35" spans="1:9" x14ac:dyDescent="0.35">
      <c r="A35" t="s">
        <v>71</v>
      </c>
      <c r="B35" t="s">
        <v>138</v>
      </c>
      <c r="C35" s="10"/>
      <c r="D35" s="10"/>
      <c r="G35" s="10"/>
      <c r="H35" s="10"/>
      <c r="I35" s="10"/>
    </row>
    <row r="36" spans="1:9" x14ac:dyDescent="0.35">
      <c r="A36" t="s">
        <v>72</v>
      </c>
      <c r="B36" t="s">
        <v>138</v>
      </c>
      <c r="C36" s="10"/>
      <c r="D36" s="10"/>
      <c r="G36" s="10"/>
      <c r="H36" s="10"/>
      <c r="I36" s="10"/>
    </row>
    <row r="37" spans="1:9" x14ac:dyDescent="0.35">
      <c r="A37" t="s">
        <v>73</v>
      </c>
      <c r="B37" t="s">
        <v>138</v>
      </c>
      <c r="C37" s="10"/>
      <c r="D37" s="10"/>
      <c r="G37" s="174"/>
      <c r="H37" s="174"/>
      <c r="I37" s="10"/>
    </row>
    <row r="38" spans="1:9" x14ac:dyDescent="0.35">
      <c r="A38" t="s">
        <v>74</v>
      </c>
      <c r="B38" t="s">
        <v>138</v>
      </c>
      <c r="C38" s="10"/>
      <c r="D38" s="10"/>
      <c r="G38" s="10"/>
      <c r="H38" s="10"/>
      <c r="I38" s="10"/>
    </row>
    <row r="39" spans="1:9" x14ac:dyDescent="0.35">
      <c r="A39" t="s">
        <v>75</v>
      </c>
      <c r="B39" t="s">
        <v>138</v>
      </c>
      <c r="C39" s="10">
        <f>'Literature comparison'!C23*Electrolyzer!$C$5/('Base operation parameters'!J52*'Base operation parameters'!$C$1)*'Base operation parameters'!D52</f>
        <v>2.3698114233400815</v>
      </c>
      <c r="D39" s="10">
        <f t="shared" ref="D39:D41" si="4">C39*3600</f>
        <v>8531.3211240242927</v>
      </c>
      <c r="E39" s="10">
        <f>'Literature comparison'!M54*Electrolyzer!E31</f>
        <v>1.7003180105684257</v>
      </c>
      <c r="F39" s="10">
        <f t="shared" ref="F39:F40" si="5">E39*3600</f>
        <v>6121.1448380463326</v>
      </c>
      <c r="G39" s="10"/>
      <c r="H39" s="10"/>
      <c r="I39" s="25"/>
    </row>
    <row r="40" spans="1:9" x14ac:dyDescent="0.35">
      <c r="A40" t="s">
        <v>76</v>
      </c>
      <c r="B40" t="s">
        <v>138</v>
      </c>
      <c r="C40" s="10">
        <f>'Literature comparison'!C24*Electrolyzer!$C$5/('Base operation parameters'!J54*'Base operation parameters'!$C$1)*'Base operation parameters'!D54</f>
        <v>0.18853754395597433</v>
      </c>
      <c r="D40" s="10">
        <f t="shared" si="4"/>
        <v>678.73515824150763</v>
      </c>
      <c r="E40" s="10">
        <f>'Literature comparison'!M38*Electrolyzer!E30</f>
        <v>0.2434647948485871</v>
      </c>
      <c r="F40" s="10">
        <f t="shared" si="5"/>
        <v>876.47326145491354</v>
      </c>
      <c r="G40" s="10"/>
      <c r="H40" s="10"/>
      <c r="I40" s="10"/>
    </row>
    <row r="41" spans="1:9" x14ac:dyDescent="0.35">
      <c r="A41" t="s">
        <v>77</v>
      </c>
      <c r="B41" t="s">
        <v>138</v>
      </c>
      <c r="C41" s="10">
        <f>'Literature comparison'!C25*Electrolyzer!$C$5/('Base operation parameters'!J55*'Base operation parameters'!$C$1)*'Base operation parameters'!D55</f>
        <v>0.13098992805125687</v>
      </c>
      <c r="D41" s="10">
        <f t="shared" si="4"/>
        <v>471.56374098452471</v>
      </c>
      <c r="G41" s="10"/>
      <c r="H41" s="10"/>
      <c r="I41" s="10"/>
    </row>
    <row r="42" spans="1:9" x14ac:dyDescent="0.35">
      <c r="A42" t="s">
        <v>78</v>
      </c>
      <c r="B42" t="s">
        <v>138</v>
      </c>
      <c r="C42" s="10"/>
      <c r="D42" s="10"/>
      <c r="G42" s="10"/>
      <c r="H42" s="10"/>
      <c r="I42" s="10"/>
    </row>
    <row r="43" spans="1:9" x14ac:dyDescent="0.35">
      <c r="A43" t="s">
        <v>79</v>
      </c>
      <c r="B43" t="s">
        <v>138</v>
      </c>
      <c r="C43" s="10"/>
      <c r="D43" s="10"/>
      <c r="G43" s="10"/>
      <c r="H43" s="10"/>
      <c r="I43" s="10"/>
    </row>
    <row r="44" spans="1:9" x14ac:dyDescent="0.35">
      <c r="A44" t="s">
        <v>80</v>
      </c>
      <c r="B44" t="s">
        <v>138</v>
      </c>
      <c r="C44" s="10">
        <f>'Literature comparison'!C28*Electrolyzer!$C$5/('Base operation parameters'!J58*'Base operation parameters'!$C$1)*'Base operation parameters'!D58</f>
        <v>7.5943497796419443E-2</v>
      </c>
      <c r="D44" s="10">
        <f t="shared" ref="D44:D46" si="6">C44*3600</f>
        <v>273.39659206711002</v>
      </c>
      <c r="E44" s="10">
        <f>'Literature comparison'!M59*Electrolyzer!E31</f>
        <v>9.608426295164392E-2</v>
      </c>
      <c r="F44" s="10">
        <f t="shared" ref="F44:F46" si="7">E44*3600</f>
        <v>345.90334662591812</v>
      </c>
      <c r="G44" s="10"/>
      <c r="H44" s="10"/>
      <c r="I44" s="25"/>
    </row>
    <row r="45" spans="1:9" x14ac:dyDescent="0.35">
      <c r="A45" t="s">
        <v>81</v>
      </c>
      <c r="B45" t="s">
        <v>138</v>
      </c>
      <c r="C45" s="10">
        <f>'Literature comparison'!C29*Electrolyzer!$C$5/('Base operation parameters'!J59*'Base operation parameters'!$C$1)*'Base operation parameters'!D59</f>
        <v>7.468853937924852E-2</v>
      </c>
      <c r="D45" s="10">
        <f t="shared" si="6"/>
        <v>268.87874176529465</v>
      </c>
      <c r="E45" s="10">
        <f>'Literature comparison'!M43*Electrolyzer!E30</f>
        <v>3.496537873271674E-2</v>
      </c>
      <c r="F45" s="10">
        <f t="shared" si="7"/>
        <v>125.87536343778027</v>
      </c>
      <c r="G45" s="10"/>
      <c r="H45" s="10"/>
      <c r="I45" s="10"/>
    </row>
    <row r="46" spans="1:9" x14ac:dyDescent="0.35">
      <c r="A46" t="s">
        <v>82</v>
      </c>
      <c r="B46" t="s">
        <v>138</v>
      </c>
      <c r="C46" s="10">
        <f ca="1">C31*'Literature comparison'!C61</f>
        <v>0.28610685854617135</v>
      </c>
      <c r="D46" s="10">
        <f t="shared" ca="1" si="6"/>
        <v>1029.9846907662168</v>
      </c>
      <c r="E46" s="10">
        <f>'Literature comparison'!M61*Electrolyzer!E31</f>
        <v>2.0944084366216327</v>
      </c>
      <c r="F46" s="10">
        <f t="shared" si="7"/>
        <v>7539.8703718378774</v>
      </c>
      <c r="G46" s="10"/>
      <c r="H46" s="10"/>
      <c r="I46" s="10"/>
    </row>
    <row r="47" spans="1:9" x14ac:dyDescent="0.35">
      <c r="A47" t="s">
        <v>83</v>
      </c>
      <c r="B47" t="s">
        <v>138</v>
      </c>
      <c r="C47" s="10"/>
      <c r="E47" s="10"/>
      <c r="G47" s="10"/>
      <c r="H47" s="10"/>
      <c r="I47" s="10"/>
    </row>
    <row r="48" spans="1:9" x14ac:dyDescent="0.35">
      <c r="A48" t="s">
        <v>84</v>
      </c>
      <c r="B48" t="s">
        <v>138</v>
      </c>
      <c r="C48" s="10"/>
      <c r="H48" s="10"/>
      <c r="I48" s="10"/>
    </row>
    <row r="49" spans="1:9" x14ac:dyDescent="0.35">
      <c r="D49" s="10"/>
      <c r="G49" s="10"/>
      <c r="H49" s="10"/>
      <c r="I49" s="10"/>
    </row>
    <row r="50" spans="1:9" x14ac:dyDescent="0.35">
      <c r="A50" s="1" t="s">
        <v>178</v>
      </c>
      <c r="D50" s="10"/>
      <c r="G50" s="10"/>
      <c r="H50" s="10"/>
      <c r="I50" s="10"/>
    </row>
    <row r="51" spans="1:9" x14ac:dyDescent="0.35">
      <c r="A51" t="s">
        <v>71</v>
      </c>
      <c r="B51" t="s">
        <v>179</v>
      </c>
      <c r="E51" s="2">
        <f>E35/'Base operation parameters'!D47</f>
        <v>0</v>
      </c>
      <c r="G51" s="10"/>
      <c r="H51" s="10"/>
      <c r="I51" s="10"/>
    </row>
    <row r="52" spans="1:9" x14ac:dyDescent="0.35">
      <c r="A52" t="s">
        <v>72</v>
      </c>
      <c r="B52" t="s">
        <v>179</v>
      </c>
      <c r="E52" s="2">
        <f>E36/'Base operation parameters'!D48</f>
        <v>0</v>
      </c>
      <c r="G52" s="10"/>
      <c r="H52" s="10"/>
      <c r="I52" s="10"/>
    </row>
    <row r="53" spans="1:9" x14ac:dyDescent="0.35">
      <c r="A53" t="s">
        <v>73</v>
      </c>
      <c r="B53" t="s">
        <v>179</v>
      </c>
      <c r="E53" s="2">
        <f>E37/'Base operation parameters'!D50</f>
        <v>0</v>
      </c>
      <c r="G53" s="10"/>
      <c r="H53" s="10"/>
      <c r="I53" s="10"/>
    </row>
    <row r="54" spans="1:9" x14ac:dyDescent="0.35">
      <c r="A54" t="s">
        <v>74</v>
      </c>
      <c r="B54" t="s">
        <v>179</v>
      </c>
      <c r="E54" s="2">
        <f>E38/'Base operation parameters'!D51</f>
        <v>0</v>
      </c>
      <c r="G54" s="10"/>
      <c r="H54" s="10"/>
      <c r="I54" s="10"/>
    </row>
    <row r="55" spans="1:9" x14ac:dyDescent="0.35">
      <c r="A55" t="s">
        <v>75</v>
      </c>
      <c r="B55" t="s">
        <v>179</v>
      </c>
      <c r="E55" s="2">
        <f>E39/('Base operation parameters'!D52-0.5*'Base operation parameters'!D59)</f>
        <v>28.797443986210055</v>
      </c>
      <c r="F55" s="2"/>
      <c r="G55" s="10"/>
      <c r="H55" s="10"/>
      <c r="I55" s="10"/>
    </row>
    <row r="56" spans="1:9" x14ac:dyDescent="0.35">
      <c r="A56" t="s">
        <v>76</v>
      </c>
      <c r="B56" t="s">
        <v>179</v>
      </c>
      <c r="E56" s="2">
        <f>E40/'Base operation parameters'!D54</f>
        <v>8.6786817492687849</v>
      </c>
    </row>
    <row r="57" spans="1:9" x14ac:dyDescent="0.35">
      <c r="A57" t="s">
        <v>77</v>
      </c>
      <c r="B57" t="s">
        <v>179</v>
      </c>
      <c r="E57" s="2">
        <f>E41/'Base operation parameters'!D55</f>
        <v>0</v>
      </c>
    </row>
    <row r="58" spans="1:9" x14ac:dyDescent="0.35">
      <c r="A58" t="s">
        <v>78</v>
      </c>
      <c r="B58" t="s">
        <v>179</v>
      </c>
      <c r="E58" s="2">
        <f>E42/'Base operation parameters'!D56</f>
        <v>0</v>
      </c>
    </row>
    <row r="59" spans="1:9" x14ac:dyDescent="0.35">
      <c r="A59" t="s">
        <v>79</v>
      </c>
      <c r="B59" t="s">
        <v>179</v>
      </c>
      <c r="E59" s="2">
        <f>E43/'Base operation parameters'!D57</f>
        <v>0</v>
      </c>
    </row>
    <row r="60" spans="1:9" x14ac:dyDescent="0.35">
      <c r="A60" t="s">
        <v>80</v>
      </c>
      <c r="B60" t="s">
        <v>179</v>
      </c>
      <c r="E60" s="2">
        <f>E44/('Base operation parameters'!D65-0.5*'Base operation parameters'!D59)</f>
        <v>1.3149517801922403</v>
      </c>
    </row>
    <row r="61" spans="1:9" x14ac:dyDescent="0.35">
      <c r="A61" t="s">
        <v>81</v>
      </c>
      <c r="B61" t="s">
        <v>179</v>
      </c>
      <c r="E61" s="2">
        <f>E45/'Base operation parameters'!D59</f>
        <v>17.344970302159226</v>
      </c>
    </row>
    <row r="62" spans="1:9" x14ac:dyDescent="0.35">
      <c r="A62" t="s">
        <v>82</v>
      </c>
      <c r="B62" t="s">
        <v>179</v>
      </c>
      <c r="E62" s="2">
        <f>E46/'Base operation parameters'!D60</f>
        <v>65.452718121355574</v>
      </c>
    </row>
    <row r="63" spans="1:9" x14ac:dyDescent="0.35">
      <c r="A63" t="s">
        <v>83</v>
      </c>
      <c r="B63" t="s">
        <v>179</v>
      </c>
      <c r="E63" s="2">
        <f>E47/'Base operation parameters'!D61</f>
        <v>0</v>
      </c>
    </row>
    <row r="64" spans="1:9" x14ac:dyDescent="0.35">
      <c r="A64" t="s">
        <v>84</v>
      </c>
      <c r="B64" t="s">
        <v>179</v>
      </c>
      <c r="E64" s="2">
        <f>E48/'Base operation parameters'!D62</f>
        <v>0</v>
      </c>
    </row>
    <row r="66" spans="1:7" ht="29" x14ac:dyDescent="0.35">
      <c r="A66" s="1"/>
      <c r="G66" s="23" t="s">
        <v>180</v>
      </c>
    </row>
    <row r="67" spans="1:7" x14ac:dyDescent="0.35">
      <c r="A67" s="1" t="s">
        <v>181</v>
      </c>
      <c r="B67" t="s">
        <v>179</v>
      </c>
      <c r="E67" s="10">
        <f>Electrolyzer!E28/1.13*3</f>
        <v>35.084595040755403</v>
      </c>
      <c r="G67" s="7">
        <f>E67*'Base operation parameters'!D64/E28</f>
        <v>0.1489529203539823</v>
      </c>
    </row>
    <row r="68" spans="1:7" x14ac:dyDescent="0.35">
      <c r="A68" s="1"/>
      <c r="E68" s="10"/>
      <c r="G68" s="7"/>
    </row>
    <row r="69" spans="1:7" x14ac:dyDescent="0.35">
      <c r="A69" s="1" t="s">
        <v>182</v>
      </c>
      <c r="E69" s="10"/>
      <c r="G69" s="7"/>
    </row>
    <row r="70" spans="1:7" ht="16.5" x14ac:dyDescent="0.45">
      <c r="A70" t="s">
        <v>183</v>
      </c>
      <c r="B70" t="s">
        <v>138</v>
      </c>
      <c r="E70" s="10">
        <f>E55*('Base operation parameters'!D52-0.5*'Base operation parameters'!D59)+Electrolyzer!E55*'Base operation parameters'!D63</f>
        <v>2.8262491147744626</v>
      </c>
      <c r="F70" s="13">
        <f>E70*3600</f>
        <v>10174.496813188065</v>
      </c>
      <c r="G70" s="7">
        <f>E70/E74</f>
        <v>0.21653307015784093</v>
      </c>
    </row>
    <row r="71" spans="1:7" ht="16.5" x14ac:dyDescent="0.45">
      <c r="A71" t="s">
        <v>184</v>
      </c>
      <c r="B71" t="s">
        <v>138</v>
      </c>
      <c r="E71" s="10">
        <f>E60*('Base operation parameters'!D65-0.5*'Base operation parameters'!D59)+Electrolyzer!E60*'Base operation parameters'!D63</f>
        <v>0.14749664213913419</v>
      </c>
      <c r="F71" s="13">
        <f t="shared" ref="F71:F74" si="8">E71*3600</f>
        <v>530.98791170088305</v>
      </c>
      <c r="G71" s="7">
        <f>E71/E74</f>
        <v>1.1300454936332735E-2</v>
      </c>
    </row>
    <row r="72" spans="1:7" x14ac:dyDescent="0.35">
      <c r="A72" t="s">
        <v>185</v>
      </c>
      <c r="B72" t="s">
        <v>138</v>
      </c>
      <c r="E72" s="10">
        <f>(E67-E55-E60)*'Base operation parameters'!D64</f>
        <v>0.27896822360714568</v>
      </c>
      <c r="F72" s="13">
        <f t="shared" si="8"/>
        <v>1004.2856049857245</v>
      </c>
      <c r="G72" s="7">
        <f>E72/E74</f>
        <v>2.1373149882067198E-2</v>
      </c>
    </row>
    <row r="73" spans="1:7" x14ac:dyDescent="0.35">
      <c r="A73" t="s">
        <v>186</v>
      </c>
      <c r="B73" t="s">
        <v>138</v>
      </c>
      <c r="E73" s="10">
        <f>E74-SUM(E70:E72)</f>
        <v>9.7995607261292843</v>
      </c>
      <c r="F73" s="13">
        <f t="shared" si="8"/>
        <v>35278.41861406542</v>
      </c>
      <c r="G73" s="7">
        <f>E73/E74</f>
        <v>0.75079332502375917</v>
      </c>
    </row>
    <row r="74" spans="1:7" x14ac:dyDescent="0.35">
      <c r="A74" t="s">
        <v>187</v>
      </c>
      <c r="B74" t="s">
        <v>138</v>
      </c>
      <c r="E74" s="13">
        <f>Electrolyzer!E31-Electrolyzer!E46</f>
        <v>13.052274706650026</v>
      </c>
      <c r="F74" s="13">
        <f t="shared" si="8"/>
        <v>46988.188943940091</v>
      </c>
      <c r="G74" s="11">
        <f>E74*3600</f>
        <v>46988.188943940091</v>
      </c>
    </row>
    <row r="75" spans="1:7" x14ac:dyDescent="0.35">
      <c r="E75" s="13"/>
      <c r="F75" s="13"/>
      <c r="G75" s="11"/>
    </row>
    <row r="76" spans="1:7" x14ac:dyDescent="0.35">
      <c r="A76" s="1" t="s">
        <v>276</v>
      </c>
      <c r="E76" s="13"/>
      <c r="F76" s="13"/>
      <c r="G76" s="11"/>
    </row>
    <row r="77" spans="1:7" ht="16.5" x14ac:dyDescent="0.45">
      <c r="A77" t="s">
        <v>183</v>
      </c>
      <c r="B77" t="s">
        <v>138</v>
      </c>
      <c r="E77" s="13">
        <f>E109*'Base operation parameters'!D69</f>
        <v>3.0198259750735645</v>
      </c>
      <c r="F77" s="13">
        <f>E77*3600</f>
        <v>10871.373510264832</v>
      </c>
      <c r="G77" s="52">
        <f>E77/$E$79</f>
        <v>0.23556711763677532</v>
      </c>
    </row>
    <row r="78" spans="1:7" x14ac:dyDescent="0.35">
      <c r="A78" t="s">
        <v>186</v>
      </c>
      <c r="B78" t="s">
        <v>138</v>
      </c>
      <c r="E78" s="13">
        <f>E73</f>
        <v>9.7995607261292843</v>
      </c>
      <c r="F78" s="13"/>
      <c r="G78" s="26">
        <f>E78/$E$79</f>
        <v>0.76443288236322471</v>
      </c>
    </row>
    <row r="79" spans="1:7" x14ac:dyDescent="0.35">
      <c r="A79" t="s">
        <v>187</v>
      </c>
      <c r="B79" t="s">
        <v>138</v>
      </c>
      <c r="E79" s="13">
        <f>SUM(E77:E78)</f>
        <v>12.819386701202848</v>
      </c>
      <c r="F79" s="13">
        <f>E79*3600</f>
        <v>46149.792124330255</v>
      </c>
      <c r="G79" s="11"/>
    </row>
    <row r="80" spans="1:7" x14ac:dyDescent="0.35">
      <c r="E80" s="13"/>
      <c r="F80" s="10"/>
    </row>
    <row r="81" spans="1:11" x14ac:dyDescent="0.35">
      <c r="A81" t="s">
        <v>188</v>
      </c>
      <c r="B81" t="s">
        <v>179</v>
      </c>
      <c r="E81" s="10">
        <f>E27*'Literature comparison'!M13/'Base operation parameters'!D47</f>
        <v>78.897106811534385</v>
      </c>
      <c r="G81" s="10"/>
    </row>
    <row r="82" spans="1:11" ht="43.5" x14ac:dyDescent="0.35">
      <c r="A82" s="23" t="s">
        <v>189</v>
      </c>
      <c r="B82" t="s">
        <v>179</v>
      </c>
      <c r="E82" s="13">
        <f>E55+E60+E72/'Base operation parameters'!D64</f>
        <v>35.084595040755403</v>
      </c>
      <c r="F82" s="13">
        <f>E82*'Base operation parameters'!D68*3600</f>
        <v>4605.1899112115379</v>
      </c>
    </row>
    <row r="84" spans="1:11" x14ac:dyDescent="0.35">
      <c r="A84" s="1" t="s">
        <v>190</v>
      </c>
      <c r="F84" t="s">
        <v>191</v>
      </c>
      <c r="G84" t="s">
        <v>192</v>
      </c>
      <c r="H84" t="s">
        <v>193</v>
      </c>
    </row>
    <row r="85" spans="1:11" x14ac:dyDescent="0.35">
      <c r="A85" t="s">
        <v>194</v>
      </c>
      <c r="B85" t="s">
        <v>179</v>
      </c>
      <c r="E85" s="13">
        <f>E55</f>
        <v>28.797443986210055</v>
      </c>
      <c r="F85" s="26">
        <f>E85/$E$89</f>
        <v>4.6891685679138873E-2</v>
      </c>
      <c r="G85" s="26">
        <f>E85/($E$89-$E$87)</f>
        <v>4.9732887235939147E-2</v>
      </c>
      <c r="H85" s="26">
        <f>E85/($E$85+$E$88)</f>
        <v>4.9846083109475067E-2</v>
      </c>
    </row>
    <row r="86" spans="1:11" x14ac:dyDescent="0.35">
      <c r="A86" t="s">
        <v>195</v>
      </c>
      <c r="B86" t="s">
        <v>179</v>
      </c>
      <c r="E86" s="11">
        <f>E60</f>
        <v>1.3149517801922403</v>
      </c>
      <c r="F86" s="26">
        <f>E86/$E$89</f>
        <v>2.1411728620611362E-3</v>
      </c>
      <c r="G86" s="26">
        <f>E86/($E$89-$E$87)</f>
        <v>2.2709080929652582E-3</v>
      </c>
    </row>
    <row r="87" spans="1:11" x14ac:dyDescent="0.35">
      <c r="A87" t="s">
        <v>196</v>
      </c>
      <c r="B87" t="s">
        <v>179</v>
      </c>
      <c r="E87" s="13">
        <f>E82</f>
        <v>35.084595040755403</v>
      </c>
      <c r="F87" s="26">
        <f>E87/$E$89</f>
        <v>5.7129230067042958E-2</v>
      </c>
      <c r="G87" s="26"/>
    </row>
    <row r="88" spans="1:11" x14ac:dyDescent="0.35">
      <c r="A88" t="s">
        <v>197</v>
      </c>
      <c r="B88" t="s">
        <v>179</v>
      </c>
      <c r="E88" s="24">
        <f>E73/'Base operation parameters'!D61+Electrolyzer!E72/'Base operation parameters'!D64</f>
        <v>548.92987559000051</v>
      </c>
      <c r="F88" s="26">
        <f>E88/$E$89</f>
        <v>0.89383791139175706</v>
      </c>
      <c r="G88" s="26">
        <f>E88/($E$89-$E$87)</f>
        <v>0.94799620467109558</v>
      </c>
      <c r="H88" s="26">
        <f>E88/($E$85+$E$88)</f>
        <v>0.95015391689052497</v>
      </c>
      <c r="K88" s="10">
        <f>Electrolyzer!E72/'Base operation parameters'!D64*'Base operation parameters'!D61*3600</f>
        <v>322.47238171411271</v>
      </c>
    </row>
    <row r="89" spans="1:11" x14ac:dyDescent="0.35">
      <c r="A89" t="s">
        <v>198</v>
      </c>
      <c r="E89" s="13">
        <f>SUM(E85:E88)</f>
        <v>614.12686639715821</v>
      </c>
      <c r="F89" s="26"/>
      <c r="G89" s="26"/>
      <c r="H89" s="26"/>
    </row>
    <row r="90" spans="1:11" x14ac:dyDescent="0.35">
      <c r="E90" s="24"/>
      <c r="F90" s="26" t="s">
        <v>136</v>
      </c>
      <c r="G90" s="26"/>
      <c r="H90" s="26"/>
    </row>
    <row r="91" spans="1:11" x14ac:dyDescent="0.35">
      <c r="A91" t="s">
        <v>194</v>
      </c>
      <c r="B91" t="s">
        <v>138</v>
      </c>
      <c r="E91" s="24">
        <f>E85*'Base operation parameters'!D52</f>
        <v>1.7293441062598862</v>
      </c>
      <c r="F91" s="7">
        <f>E91/$E$96</f>
        <v>0.12066750187315838</v>
      </c>
      <c r="G91" s="26"/>
      <c r="H91" s="27">
        <f>E91*3600</f>
        <v>6225.6387825355905</v>
      </c>
    </row>
    <row r="92" spans="1:11" x14ac:dyDescent="0.35">
      <c r="A92" t="s">
        <v>195</v>
      </c>
      <c r="B92" t="s">
        <v>138</v>
      </c>
      <c r="E92" s="24">
        <f>E86*'Base operation parameters'!D65</f>
        <v>9.7409655448970886E-2</v>
      </c>
      <c r="F92" s="7">
        <f>E92/$E$96</f>
        <v>6.7969004773570409E-3</v>
      </c>
      <c r="G92" s="26"/>
      <c r="H92" s="27">
        <f t="shared" ref="H92:H94" si="9">E92*3600</f>
        <v>350.6747596162952</v>
      </c>
    </row>
    <row r="93" spans="1:11" x14ac:dyDescent="0.35">
      <c r="A93" t="s">
        <v>196</v>
      </c>
      <c r="B93" t="s">
        <v>138</v>
      </c>
      <c r="E93" s="24">
        <f>E87*'Base operation parameters'!D66</f>
        <v>2.6155916448833563</v>
      </c>
      <c r="F93" s="7">
        <f>E93/$E$96</f>
        <v>0.18250671371065394</v>
      </c>
      <c r="G93" s="26">
        <f>E93/(E96-E93)</f>
        <v>0.22325163615601482</v>
      </c>
      <c r="H93" s="27">
        <f t="shared" si="9"/>
        <v>9416.1299215800827</v>
      </c>
    </row>
    <row r="94" spans="1:11" x14ac:dyDescent="0.35">
      <c r="A94" t="s">
        <v>197</v>
      </c>
      <c r="B94" t="s">
        <v>138</v>
      </c>
      <c r="E94" s="24">
        <f>E88*'Base operation parameters'!D61</f>
        <v>9.8891363877165368</v>
      </c>
      <c r="F94" s="7">
        <f>E94/$E$96</f>
        <v>0.69002888393883066</v>
      </c>
      <c r="H94" s="27">
        <f t="shared" si="9"/>
        <v>35600.890995779533</v>
      </c>
    </row>
    <row r="95" spans="1:11" ht="16.5" x14ac:dyDescent="0.45">
      <c r="A95" t="s">
        <v>206</v>
      </c>
      <c r="B95" t="s">
        <v>207</v>
      </c>
      <c r="E95" s="24">
        <f>E87/(SUM(E91,E92,E94))</f>
        <v>2.9946162513717427</v>
      </c>
      <c r="F95" s="7"/>
      <c r="H95" s="27"/>
    </row>
    <row r="96" spans="1:11" x14ac:dyDescent="0.35">
      <c r="E96" s="13">
        <f>SUM(E91:E94)</f>
        <v>14.33148179430875</v>
      </c>
      <c r="F96" s="10">
        <f>E96-E74-E82*'Base operation parameters'!D68</f>
        <v>-1.2332122258484901E-5</v>
      </c>
      <c r="G96" s="10">
        <f>F96*3600</f>
        <v>-4.4395640130545644E-2</v>
      </c>
    </row>
    <row r="97" spans="1:7" x14ac:dyDescent="0.35">
      <c r="A97" s="1" t="s">
        <v>199</v>
      </c>
      <c r="F97" s="11">
        <f>E96*3600</f>
        <v>51593.334459511505</v>
      </c>
    </row>
    <row r="98" spans="1:7" x14ac:dyDescent="0.35">
      <c r="A98" t="s">
        <v>200</v>
      </c>
      <c r="B98" t="s">
        <v>201</v>
      </c>
      <c r="E98">
        <v>268949</v>
      </c>
    </row>
    <row r="100" spans="1:7" x14ac:dyDescent="0.35">
      <c r="A100" s="1" t="s">
        <v>270</v>
      </c>
    </row>
    <row r="101" spans="1:7" x14ac:dyDescent="0.35">
      <c r="A101" t="s">
        <v>271</v>
      </c>
    </row>
    <row r="102" spans="1:7" x14ac:dyDescent="0.35">
      <c r="A102" t="s">
        <v>272</v>
      </c>
      <c r="E102" t="s">
        <v>179</v>
      </c>
      <c r="F102" t="s">
        <v>201</v>
      </c>
      <c r="G102" t="s">
        <v>227</v>
      </c>
    </row>
    <row r="103" spans="1:7" x14ac:dyDescent="0.35">
      <c r="A103" t="s">
        <v>273</v>
      </c>
      <c r="B103" t="s">
        <v>179</v>
      </c>
      <c r="E103" s="13">
        <f>E109</f>
        <v>30.769871656498417</v>
      </c>
      <c r="F103" s="13">
        <f>E103*'Base operation parameters'!D68*3600</f>
        <v>4038.8410456833194</v>
      </c>
      <c r="G103" s="33">
        <f>E103/(E103+E107)</f>
        <v>0.19572668520808004</v>
      </c>
    </row>
    <row r="104" spans="1:7" x14ac:dyDescent="0.35">
      <c r="A104" t="s">
        <v>278</v>
      </c>
      <c r="B104" t="s">
        <v>279</v>
      </c>
      <c r="C104" t="s">
        <v>282</v>
      </c>
      <c r="E104" s="13">
        <v>10.535</v>
      </c>
      <c r="F104" s="13"/>
    </row>
    <row r="105" spans="1:7" x14ac:dyDescent="0.35">
      <c r="A105" t="s">
        <v>280</v>
      </c>
      <c r="B105" t="s">
        <v>281</v>
      </c>
      <c r="E105" s="13">
        <v>1164</v>
      </c>
      <c r="F105" s="13"/>
    </row>
    <row r="106" spans="1:7" x14ac:dyDescent="0.35">
      <c r="A106" t="s">
        <v>277</v>
      </c>
      <c r="B106" t="s">
        <v>201</v>
      </c>
      <c r="E106" s="13"/>
      <c r="F106" s="33">
        <f>E103/(E104/(E105/1000))*3600</f>
        <v>12239.019476923679</v>
      </c>
      <c r="G106" s="13"/>
    </row>
    <row r="107" spans="1:7" x14ac:dyDescent="0.35">
      <c r="A107" t="s">
        <v>275</v>
      </c>
      <c r="E107" s="13">
        <f>F107/3600/'Base operation parameters'!D61</f>
        <v>126.43849072794852</v>
      </c>
      <c r="F107" s="13">
        <f>F106-F103</f>
        <v>8200.1784312403597</v>
      </c>
      <c r="G107" s="33">
        <f>E107/(E107+E103)</f>
        <v>0.80427331479191999</v>
      </c>
    </row>
    <row r="109" spans="1:7" x14ac:dyDescent="0.35">
      <c r="A109" t="s">
        <v>194</v>
      </c>
      <c r="B109" t="s">
        <v>179</v>
      </c>
      <c r="E109" s="13">
        <f>E85+E86*3/2</f>
        <v>30.769871656498417</v>
      </c>
      <c r="F109" s="26">
        <f>E109/$E$112</f>
        <v>4.2039024484408209E-2</v>
      </c>
    </row>
    <row r="110" spans="1:7" x14ac:dyDescent="0.35">
      <c r="A110" t="s">
        <v>196</v>
      </c>
      <c r="B110" t="s">
        <v>179</v>
      </c>
      <c r="E110" s="13">
        <f>E109</f>
        <v>30.769871656498417</v>
      </c>
      <c r="F110" s="26">
        <f>E110/$E$112</f>
        <v>4.2039024484408209E-2</v>
      </c>
      <c r="G110" s="13"/>
    </row>
    <row r="111" spans="1:7" x14ac:dyDescent="0.35">
      <c r="A111" t="s">
        <v>197</v>
      </c>
      <c r="B111" t="s">
        <v>179</v>
      </c>
      <c r="E111" s="24">
        <f>E73/'Base operation parameters'!D61+E107</f>
        <v>670.39616704359594</v>
      </c>
      <c r="F111" s="26">
        <f>E111/$E$112</f>
        <v>0.91592195103118357</v>
      </c>
    </row>
    <row r="112" spans="1:7" x14ac:dyDescent="0.35">
      <c r="A112" t="s">
        <v>198</v>
      </c>
      <c r="B112" t="s">
        <v>179</v>
      </c>
      <c r="E112" s="13">
        <f>SUM(E109:E111)</f>
        <v>731.93591035659279</v>
      </c>
    </row>
    <row r="113" spans="1:13" x14ac:dyDescent="0.35">
      <c r="A113" t="s">
        <v>194</v>
      </c>
      <c r="B113" t="s">
        <v>138</v>
      </c>
      <c r="E113" s="13">
        <f>E109*'Base operation parameters'!D52</f>
        <v>1.847792332716043</v>
      </c>
      <c r="F113" s="27">
        <f>E113/$E$116</f>
        <v>0.11392689800167488</v>
      </c>
      <c r="H113">
        <f>1-F113</f>
        <v>0.88607310199832512</v>
      </c>
    </row>
    <row r="114" spans="1:13" x14ac:dyDescent="0.35">
      <c r="A114" t="s">
        <v>196</v>
      </c>
      <c r="B114" t="s">
        <v>138</v>
      </c>
      <c r="E114" s="13">
        <f>E110*'Base operation parameters'!D66</f>
        <v>2.2939247018636135</v>
      </c>
      <c r="F114" s="32">
        <f t="shared" ref="F114:F115" si="10">E114/$E$116</f>
        <v>0.14143349385404089</v>
      </c>
    </row>
    <row r="115" spans="1:13" x14ac:dyDescent="0.35">
      <c r="A115" t="s">
        <v>197</v>
      </c>
      <c r="B115" t="s">
        <v>138</v>
      </c>
      <c r="E115" s="13">
        <f>E111*'Base operation parameters'!D61</f>
        <v>12.077388068140495</v>
      </c>
      <c r="F115" s="32">
        <f t="shared" si="10"/>
        <v>0.74463960814428432</v>
      </c>
    </row>
    <row r="116" spans="1:13" x14ac:dyDescent="0.35">
      <c r="A116" t="s">
        <v>198</v>
      </c>
      <c r="B116" t="s">
        <v>138</v>
      </c>
      <c r="E116" s="13">
        <f>SUM(E113:E115)</f>
        <v>16.21910510272015</v>
      </c>
      <c r="F116" s="33">
        <f>E116*3600</f>
        <v>58388.778369792541</v>
      </c>
      <c r="H116" s="33">
        <f>F116*2.5-I116</f>
        <v>145949.61619416109</v>
      </c>
      <c r="I116">
        <f>21.3595510281666+0.970179292094689</f>
        <v>22.329730320261287</v>
      </c>
    </row>
    <row r="117" spans="1:13" x14ac:dyDescent="0.35">
      <c r="A117" s="31" t="s">
        <v>274</v>
      </c>
    </row>
    <row r="118" spans="1:13" x14ac:dyDescent="0.35">
      <c r="A118" t="s">
        <v>202</v>
      </c>
      <c r="B118" t="s">
        <v>203</v>
      </c>
      <c r="E118" s="2">
        <f>2.5*'Base operation parameters'!D67</f>
        <v>0.1461075</v>
      </c>
    </row>
    <row r="119" spans="1:13" x14ac:dyDescent="0.35">
      <c r="A119" t="s">
        <v>204</v>
      </c>
      <c r="B119" t="s">
        <v>65</v>
      </c>
      <c r="E119" s="13">
        <f>E118*E28*G67/'Base operation parameters'!D64*3.6</f>
        <v>18.454040891701815</v>
      </c>
    </row>
    <row r="121" spans="1:13" x14ac:dyDescent="0.35">
      <c r="A121" s="1" t="s">
        <v>373</v>
      </c>
      <c r="J121" s="1" t="s">
        <v>366</v>
      </c>
    </row>
    <row r="122" spans="1:13" x14ac:dyDescent="0.35">
      <c r="A122" s="5" t="s">
        <v>362</v>
      </c>
      <c r="E122" t="s">
        <v>179</v>
      </c>
      <c r="F122" t="s">
        <v>201</v>
      </c>
      <c r="G122" t="s">
        <v>227</v>
      </c>
      <c r="H122" t="s">
        <v>136</v>
      </c>
      <c r="K122" s="5" t="s">
        <v>371</v>
      </c>
      <c r="L122" s="5" t="s">
        <v>370</v>
      </c>
      <c r="M122" s="5" t="s">
        <v>372</v>
      </c>
    </row>
    <row r="123" spans="1:13" x14ac:dyDescent="0.35">
      <c r="A123" t="s">
        <v>71</v>
      </c>
      <c r="E123" s="24">
        <f>F123/3600/'Base operation parameters'!D47</f>
        <v>187.85025431317715</v>
      </c>
      <c r="F123" s="11">
        <f>F27</f>
        <v>18942.135870015081</v>
      </c>
      <c r="J123" t="s">
        <v>6</v>
      </c>
      <c r="K123" s="2">
        <f>E123</f>
        <v>187.85025431317715</v>
      </c>
      <c r="L123" s="2">
        <f>E125+2*E126+2*E135</f>
        <v>187.85025431317715</v>
      </c>
      <c r="M123" s="2">
        <f>ABS(K123-L123)</f>
        <v>0</v>
      </c>
    </row>
    <row r="124" spans="1:13" x14ac:dyDescent="0.35">
      <c r="A124" s="5" t="s">
        <v>363</v>
      </c>
      <c r="J124" t="s">
        <v>367</v>
      </c>
      <c r="K124" s="2">
        <f>E123+E131+E130</f>
        <v>828.04998089699052</v>
      </c>
      <c r="L124" s="2">
        <f>E125+E134+E136*2+E135*2</f>
        <v>828.05000774251823</v>
      </c>
      <c r="M124" s="2">
        <f>ABS(K124-L124)</f>
        <v>2.6845527713703632E-5</v>
      </c>
    </row>
    <row r="125" spans="1:13" x14ac:dyDescent="0.35">
      <c r="A125" t="s">
        <v>71</v>
      </c>
      <c r="E125">
        <f>(1-'Literature comparison'!M13)*Electrolyzer!E123</f>
        <v>108.95314750164276</v>
      </c>
      <c r="F125" s="33">
        <f>E125*3600*'Base operation parameters'!D47</f>
        <v>10986.43880460875</v>
      </c>
      <c r="G125" s="7">
        <f>E125/$E$128</f>
        <v>0.80719907319186424</v>
      </c>
      <c r="H125" s="7">
        <f>F125/$F$128</f>
        <v>0.91639282698213809</v>
      </c>
      <c r="J125" t="s">
        <v>368</v>
      </c>
      <c r="K125" s="2">
        <f>E130*2+E131</f>
        <v>1249.6295815111284</v>
      </c>
      <c r="L125" s="2">
        <f>E126*4+E127*2+E134*2+E135*3</f>
        <v>1249.6296352021836</v>
      </c>
      <c r="M125" s="2">
        <f>ABS(K125-L125)</f>
        <v>5.3691055200033588E-5</v>
      </c>
    </row>
    <row r="126" spans="1:13" x14ac:dyDescent="0.35">
      <c r="A126" t="s">
        <v>76</v>
      </c>
      <c r="E126" s="11">
        <f>E56</f>
        <v>8.6786817492687849</v>
      </c>
      <c r="F126" s="2">
        <f>E126*3600*'Base operation parameters'!D54</f>
        <v>876.47326145491343</v>
      </c>
      <c r="G126" s="7">
        <f t="shared" ref="G126:G127" si="11">E126/$E$128</f>
        <v>6.4297581347351931E-2</v>
      </c>
      <c r="H126" s="7">
        <f t="shared" ref="H126:H127" si="12">F126/$F$128</f>
        <v>7.3107748936988348E-2</v>
      </c>
      <c r="J126" t="s">
        <v>369</v>
      </c>
      <c r="K126" s="2">
        <f>E131</f>
        <v>30.76987165649841</v>
      </c>
      <c r="L126" s="2">
        <f>E135</f>
        <v>30.76987165649841</v>
      </c>
      <c r="M126" s="2">
        <f>ABS(K126-L126)</f>
        <v>0</v>
      </c>
    </row>
    <row r="127" spans="1:13" x14ac:dyDescent="0.35">
      <c r="A127" t="s">
        <v>81</v>
      </c>
      <c r="E127" s="51">
        <f>E61</f>
        <v>17.344970302159226</v>
      </c>
      <c r="F127" s="10">
        <f>E127*3600*'Base operation parameters'!D59</f>
        <v>125.87536343778025</v>
      </c>
      <c r="G127" s="7">
        <f t="shared" si="11"/>
        <v>0.12850334546078382</v>
      </c>
      <c r="H127" s="7">
        <f t="shared" si="12"/>
        <v>1.049942408087344E-2</v>
      </c>
    </row>
    <row r="128" spans="1:13" x14ac:dyDescent="0.35">
      <c r="A128" t="s">
        <v>198</v>
      </c>
      <c r="E128" s="10">
        <f>SUM(E125:E127)</f>
        <v>134.97679955307078</v>
      </c>
      <c r="F128" s="10">
        <f>SUM(F125:F127)</f>
        <v>11988.787429501444</v>
      </c>
      <c r="G128" s="10"/>
      <c r="J128" s="1" t="s">
        <v>375</v>
      </c>
    </row>
    <row r="129" spans="1:13" x14ac:dyDescent="0.35">
      <c r="A129" s="5" t="s">
        <v>364</v>
      </c>
      <c r="K129" s="5" t="s">
        <v>376</v>
      </c>
      <c r="L129" s="5" t="s">
        <v>377</v>
      </c>
      <c r="M129" s="5" t="s">
        <v>372</v>
      </c>
    </row>
    <row r="130" spans="1:13" x14ac:dyDescent="0.35">
      <c r="A130" t="s">
        <v>197</v>
      </c>
      <c r="E130">
        <v>609.42985492731498</v>
      </c>
      <c r="F130" s="33">
        <f>E130*3600*'Base operation parameters'!D61</f>
        <v>39524.62199569941</v>
      </c>
      <c r="G130" s="7">
        <f>E130/$E$132</f>
        <v>0.95193707466779109</v>
      </c>
      <c r="H130" s="7">
        <f>F130/$F$132</f>
        <v>0.86412400392507394</v>
      </c>
      <c r="K130" s="11">
        <f>F123+F132</f>
        <v>64681.661466073507</v>
      </c>
      <c r="L130" s="10">
        <f>F128+F137</f>
        <v>64681.661958304481</v>
      </c>
      <c r="M130" s="10">
        <f>K130-L130</f>
        <v>-4.9223097448702902E-4</v>
      </c>
    </row>
    <row r="131" spans="1:13" x14ac:dyDescent="0.35">
      <c r="A131" t="s">
        <v>295</v>
      </c>
      <c r="E131" s="11">
        <f>E135</f>
        <v>30.76987165649841</v>
      </c>
      <c r="F131" s="33">
        <f>E131*3600*'Base operation parameters'!D64</f>
        <v>6214.9036003590136</v>
      </c>
      <c r="G131" s="7">
        <f>E131/$E$132</f>
        <v>4.8062925332208954E-2</v>
      </c>
      <c r="H131" s="27">
        <f>F131/$F$132</f>
        <v>0.13587599607492604</v>
      </c>
    </row>
    <row r="132" spans="1:13" x14ac:dyDescent="0.35">
      <c r="A132" t="s">
        <v>198</v>
      </c>
      <c r="E132" s="48">
        <f>SUM(E130:E131)</f>
        <v>640.19972658381334</v>
      </c>
      <c r="F132" s="48">
        <f>SUM(F130:F131)</f>
        <v>45739.525596058425</v>
      </c>
      <c r="J132" s="1" t="s">
        <v>378</v>
      </c>
    </row>
    <row r="133" spans="1:13" x14ac:dyDescent="0.35">
      <c r="A133" s="5" t="s">
        <v>365</v>
      </c>
      <c r="J133" t="s">
        <v>155</v>
      </c>
      <c r="K133" t="s">
        <v>156</v>
      </c>
      <c r="L133" s="2">
        <f>(E126*'Base operation parameters'!J54+E127*'Base operation parameters'!J59+Electrolyzer!E135*'Base operation parameters'!J52)*'Base operation parameters'!C1</f>
        <v>21921359.030573055</v>
      </c>
    </row>
    <row r="134" spans="1:13" x14ac:dyDescent="0.35">
      <c r="A134" t="s">
        <v>197</v>
      </c>
      <c r="E134" s="48">
        <f>E111-E107</f>
        <v>543.9576763156474</v>
      </c>
      <c r="F134" s="2">
        <f>E134*3600*'Base operation parameters'!D61</f>
        <v>35278.41861406542</v>
      </c>
      <c r="G134" s="7">
        <f>E134/$E$137</f>
        <v>0.86133679991149759</v>
      </c>
      <c r="H134" s="7">
        <f>F134/$F$137</f>
        <v>0.66951023130805831</v>
      </c>
      <c r="J134" t="s">
        <v>39</v>
      </c>
      <c r="K134" t="s">
        <v>29</v>
      </c>
      <c r="L134">
        <f>Economics!N55</f>
        <v>2.19</v>
      </c>
    </row>
    <row r="135" spans="1:13" ht="16.5" x14ac:dyDescent="0.35">
      <c r="A135" t="s">
        <v>228</v>
      </c>
      <c r="E135" s="13">
        <f>((E123-E125)-2*E126)/2</f>
        <v>30.76987165649841</v>
      </c>
      <c r="F135" s="11">
        <f>E135*3600*'Base operation parameters'!D69</f>
        <v>10871.37351026483</v>
      </c>
      <c r="G135" s="7">
        <f t="shared" ref="G135:G136" si="13">E135/$E$137</f>
        <v>4.8722950222540029E-2</v>
      </c>
      <c r="H135" s="7">
        <f t="shared" ref="H135:H136" si="14">F135/$F$137</f>
        <v>0.20631581798260612</v>
      </c>
      <c r="J135" t="s">
        <v>157</v>
      </c>
      <c r="K135" t="s">
        <v>158</v>
      </c>
      <c r="L135" s="13">
        <f>L133/(Economics!N54*10)</f>
        <v>10960.679515286527</v>
      </c>
    </row>
    <row r="136" spans="1:13" x14ac:dyDescent="0.35">
      <c r="A136" t="s">
        <v>82</v>
      </c>
      <c r="E136" s="13">
        <f>E135+E126*2+E127*0.5</f>
        <v>56.799720306115589</v>
      </c>
      <c r="F136" s="10">
        <f>E136*3600*'Base operation parameters'!D60</f>
        <v>6543.0824044727942</v>
      </c>
      <c r="G136" s="7">
        <f t="shared" si="13"/>
        <v>8.9940249865962552E-2</v>
      </c>
      <c r="H136" s="7">
        <f t="shared" si="14"/>
        <v>0.12417395070933561</v>
      </c>
      <c r="J136" t="s">
        <v>159</v>
      </c>
      <c r="K136" t="s">
        <v>65</v>
      </c>
      <c r="L136" s="2">
        <f>L133*L134*0.000001</f>
        <v>48.007776276954985</v>
      </c>
    </row>
    <row r="137" spans="1:13" x14ac:dyDescent="0.35">
      <c r="A137" t="s">
        <v>198</v>
      </c>
      <c r="E137" s="48">
        <f>SUM(E134:E136)</f>
        <v>631.52726827826132</v>
      </c>
      <c r="F137" s="48">
        <f>SUM(F134:F136)</f>
        <v>52692.87452880304</v>
      </c>
      <c r="J137" t="s">
        <v>298</v>
      </c>
      <c r="K137" t="s">
        <v>29</v>
      </c>
      <c r="L137" s="46">
        <f>ABS(L141*'Base operation parameters'!M53+L142*'Base operation parameters'!M54+L143*'Base operation parameters'!M59)</f>
        <v>0.79414823075200325</v>
      </c>
      <c r="M137" s="2"/>
    </row>
    <row r="138" spans="1:13" x14ac:dyDescent="0.35">
      <c r="E138" s="48"/>
      <c r="F138" s="48"/>
      <c r="J138" t="s">
        <v>329</v>
      </c>
      <c r="K138" t="s">
        <v>31</v>
      </c>
      <c r="L138" s="7">
        <f>L137/L134</f>
        <v>0.36262476290045809</v>
      </c>
    </row>
    <row r="139" spans="1:13" x14ac:dyDescent="0.35">
      <c r="A139" s="1" t="s">
        <v>374</v>
      </c>
      <c r="E139" t="s">
        <v>179</v>
      </c>
      <c r="F139" t="s">
        <v>201</v>
      </c>
      <c r="G139" t="s">
        <v>227</v>
      </c>
      <c r="H139" t="s">
        <v>136</v>
      </c>
      <c r="J139" t="s">
        <v>160</v>
      </c>
      <c r="K139" t="s">
        <v>65</v>
      </c>
      <c r="L139" s="2">
        <f>L136*(1-L138)</f>
        <v>30.598967787145948</v>
      </c>
    </row>
    <row r="140" spans="1:13" x14ac:dyDescent="0.35">
      <c r="A140" t="s">
        <v>197</v>
      </c>
      <c r="E140" s="48">
        <f>E134</f>
        <v>543.9576763156474</v>
      </c>
      <c r="F140" s="2">
        <f>F134</f>
        <v>35278.41861406542</v>
      </c>
      <c r="G140" s="7">
        <f>E140/$E$142</f>
        <v>0.94646181174877386</v>
      </c>
      <c r="H140" s="7">
        <f>F140/$F$142</f>
        <v>0.76443288236322471</v>
      </c>
      <c r="J140" t="s">
        <v>286</v>
      </c>
      <c r="K140" t="s">
        <v>128</v>
      </c>
      <c r="L140">
        <v>60</v>
      </c>
    </row>
    <row r="141" spans="1:13" x14ac:dyDescent="0.35">
      <c r="A141" t="s">
        <v>228</v>
      </c>
      <c r="E141" s="11">
        <f>E135</f>
        <v>30.76987165649841</v>
      </c>
      <c r="F141" s="13">
        <f>F135</f>
        <v>10871.37351026483</v>
      </c>
      <c r="G141" s="7">
        <f>E141/$E$142</f>
        <v>5.3538188251226256E-2</v>
      </c>
      <c r="H141" s="7">
        <f>F141/$F$142</f>
        <v>0.23556711763677529</v>
      </c>
      <c r="J141" s="169" t="s">
        <v>42</v>
      </c>
      <c r="K141" t="s">
        <v>360</v>
      </c>
      <c r="L141" s="26">
        <f>E135*'Base operation parameters'!J52*'Base operation parameters'!C1/Electrolyzer!L133</f>
        <v>0.54172576010353068</v>
      </c>
    </row>
    <row r="142" spans="1:13" x14ac:dyDescent="0.35">
      <c r="A142" t="s">
        <v>198</v>
      </c>
      <c r="E142" s="48">
        <f>SUM(E140:E141)</f>
        <v>574.72754797214577</v>
      </c>
      <c r="F142" s="48">
        <f>SUM(F140:F141)</f>
        <v>46149.792124330248</v>
      </c>
      <c r="I142" s="33"/>
      <c r="J142" s="169"/>
      <c r="K142" t="s">
        <v>76</v>
      </c>
      <c r="L142" s="26">
        <f>E126*'Base operation parameters'!J54*'Base operation parameters'!C1/L133</f>
        <v>0.30558889031481223</v>
      </c>
    </row>
    <row r="143" spans="1:13" x14ac:dyDescent="0.35">
      <c r="H143" s="33"/>
      <c r="J143" s="169"/>
      <c r="K143" t="s">
        <v>81</v>
      </c>
      <c r="L143" s="26">
        <f>E127*'Base operation parameters'!J59*'Base operation parameters'!C1/L133</f>
        <v>0.15268534958165722</v>
      </c>
    </row>
    <row r="144" spans="1:13" x14ac:dyDescent="0.35">
      <c r="A144" s="1" t="s">
        <v>379</v>
      </c>
      <c r="B144" t="s">
        <v>381</v>
      </c>
      <c r="C144" t="s">
        <v>382</v>
      </c>
      <c r="E144" s="53"/>
      <c r="J144" t="s">
        <v>57</v>
      </c>
      <c r="K144" t="s">
        <v>163</v>
      </c>
      <c r="L144" s="2">
        <f>L135*'Base operation parameters'!C41</f>
        <v>16441019.272929791</v>
      </c>
    </row>
    <row r="145" spans="1:12" x14ac:dyDescent="0.35">
      <c r="A145" t="s">
        <v>380</v>
      </c>
      <c r="B145" t="s">
        <v>71</v>
      </c>
      <c r="C145" s="55">
        <f>(E135*2)/(E135*2+E126*2)*'Literature comparison'!M13</f>
        <v>0.3276</v>
      </c>
      <c r="E145" s="54"/>
    </row>
    <row r="146" spans="1:12" x14ac:dyDescent="0.35">
      <c r="A146" t="s">
        <v>76</v>
      </c>
      <c r="B146" t="s">
        <v>71</v>
      </c>
      <c r="C146" s="55">
        <f>(E126*2)/(E135*2+E126*2)*'Literature comparison'!M13</f>
        <v>9.2400000000000024E-2</v>
      </c>
      <c r="G146" s="33"/>
      <c r="J146" t="s">
        <v>912</v>
      </c>
      <c r="K146" t="s">
        <v>156</v>
      </c>
      <c r="L146" s="2">
        <f>L133+E12/1000*E16*10000</f>
        <v>37146185.804085344</v>
      </c>
    </row>
    <row r="147" spans="1:12" x14ac:dyDescent="0.35">
      <c r="A147" t="s">
        <v>81</v>
      </c>
      <c r="B147" t="s">
        <v>383</v>
      </c>
      <c r="C147" s="51">
        <f>E127/2</f>
        <v>8.6724851510796128</v>
      </c>
    </row>
    <row r="148" spans="1:12" x14ac:dyDescent="0.35">
      <c r="F148" s="33"/>
    </row>
  </sheetData>
  <mergeCells count="4">
    <mergeCell ref="C2:D2"/>
    <mergeCell ref="G37:H37"/>
    <mergeCell ref="E2:F2"/>
    <mergeCell ref="J141:J143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9FC1-2933-4B56-82B6-FBD7A465ECA7}">
  <dimension ref="A1:Q48"/>
  <sheetViews>
    <sheetView topLeftCell="A12" zoomScale="55" zoomScaleNormal="55" workbookViewId="0"/>
  </sheetViews>
  <sheetFormatPr defaultRowHeight="14.5" x14ac:dyDescent="0.35"/>
  <cols>
    <col min="1" max="1" width="30" customWidth="1"/>
    <col min="2" max="2" width="14.36328125" customWidth="1"/>
    <col min="3" max="3" width="11.81640625" bestFit="1" customWidth="1"/>
    <col min="4" max="4" width="13.453125" bestFit="1" customWidth="1"/>
    <col min="5" max="5" width="11.81640625" customWidth="1"/>
    <col min="6" max="6" width="13.08984375" bestFit="1" customWidth="1"/>
    <col min="7" max="7" width="11.81640625" bestFit="1" customWidth="1"/>
    <col min="9" max="9" width="11.36328125" bestFit="1" customWidth="1"/>
    <col min="11" max="11" width="9" customWidth="1"/>
    <col min="12" max="12" width="34.6328125" customWidth="1"/>
    <col min="14" max="14" width="11.81640625" bestFit="1" customWidth="1"/>
    <col min="17" max="17" width="10.36328125" bestFit="1" customWidth="1"/>
  </cols>
  <sheetData>
    <row r="1" spans="1:17" x14ac:dyDescent="0.35">
      <c r="A1" s="1" t="s">
        <v>283</v>
      </c>
      <c r="L1" s="1" t="s">
        <v>143</v>
      </c>
      <c r="M1" t="s">
        <v>10</v>
      </c>
      <c r="N1" t="s">
        <v>9</v>
      </c>
      <c r="O1" t="s">
        <v>11</v>
      </c>
    </row>
    <row r="2" spans="1:17" x14ac:dyDescent="0.35">
      <c r="A2" t="s">
        <v>8</v>
      </c>
      <c r="B2" t="s">
        <v>10</v>
      </c>
      <c r="C2" t="s">
        <v>9</v>
      </c>
      <c r="D2" t="s">
        <v>11</v>
      </c>
      <c r="L2" t="s">
        <v>313</v>
      </c>
      <c r="M2" t="s">
        <v>305</v>
      </c>
      <c r="N2" s="36">
        <f>300/N7</f>
        <v>1153.8461538461538</v>
      </c>
      <c r="O2" t="s">
        <v>285</v>
      </c>
    </row>
    <row r="3" spans="1:17" x14ac:dyDescent="0.35">
      <c r="A3" t="s">
        <v>235</v>
      </c>
      <c r="B3" t="s">
        <v>31</v>
      </c>
      <c r="C3" s="16">
        <v>0.92</v>
      </c>
      <c r="D3" t="s">
        <v>349</v>
      </c>
      <c r="L3" t="s">
        <v>314</v>
      </c>
      <c r="M3" t="s">
        <v>305</v>
      </c>
      <c r="N3" s="36">
        <f>220/N10</f>
        <v>1100</v>
      </c>
    </row>
    <row r="4" spans="1:17" x14ac:dyDescent="0.35">
      <c r="A4" t="s">
        <v>122</v>
      </c>
      <c r="B4" t="s">
        <v>29</v>
      </c>
      <c r="C4" s="14">
        <v>3</v>
      </c>
      <c r="D4" t="s">
        <v>291</v>
      </c>
    </row>
    <row r="5" spans="1:17" x14ac:dyDescent="0.35">
      <c r="A5" t="s">
        <v>298</v>
      </c>
      <c r="B5" t="s">
        <v>29</v>
      </c>
      <c r="C5" s="14">
        <v>2.2000000000000002</v>
      </c>
      <c r="D5" t="s">
        <v>284</v>
      </c>
      <c r="L5" t="s">
        <v>306</v>
      </c>
      <c r="M5" t="s">
        <v>305</v>
      </c>
      <c r="N5" s="34">
        <f>AVERAGE(1145.8,1133.3)</f>
        <v>1139.55</v>
      </c>
      <c r="O5" t="s">
        <v>285</v>
      </c>
    </row>
    <row r="6" spans="1:17" x14ac:dyDescent="0.35">
      <c r="A6" t="s">
        <v>286</v>
      </c>
      <c r="B6" t="s">
        <v>287</v>
      </c>
      <c r="C6" s="14">
        <v>90</v>
      </c>
      <c r="D6" t="s">
        <v>284</v>
      </c>
      <c r="L6" t="s">
        <v>307</v>
      </c>
      <c r="M6" t="s">
        <v>305</v>
      </c>
      <c r="N6" s="34">
        <f>AVERAGE(1160.9,1148.3)</f>
        <v>1154.5999999999999</v>
      </c>
      <c r="O6" t="s">
        <v>285</v>
      </c>
      <c r="Q6" t="s">
        <v>312</v>
      </c>
    </row>
    <row r="7" spans="1:17" x14ac:dyDescent="0.35">
      <c r="A7" t="s">
        <v>288</v>
      </c>
      <c r="B7" t="s">
        <v>289</v>
      </c>
      <c r="C7" s="14">
        <v>300</v>
      </c>
      <c r="D7" t="s">
        <v>285</v>
      </c>
      <c r="L7" t="s">
        <v>308</v>
      </c>
      <c r="N7" s="47">
        <v>0.26</v>
      </c>
      <c r="Q7" s="11">
        <f>N7*((0.28-N7)*(N6-N5)/(0.28-0.26)+N5)</f>
        <v>300.19599999999997</v>
      </c>
    </row>
    <row r="8" spans="1:17" x14ac:dyDescent="0.35">
      <c r="A8" t="s">
        <v>290</v>
      </c>
      <c r="B8" t="s">
        <v>289</v>
      </c>
      <c r="C8" s="14">
        <v>220</v>
      </c>
      <c r="D8" t="s">
        <v>285</v>
      </c>
      <c r="L8" t="s">
        <v>310</v>
      </c>
      <c r="M8" t="s">
        <v>305</v>
      </c>
      <c r="N8" s="14">
        <f>AVERAGE(1102.4,1089.7)</f>
        <v>1096.0500000000002</v>
      </c>
      <c r="O8" t="s">
        <v>285</v>
      </c>
    </row>
    <row r="9" spans="1:17" ht="16.5" x14ac:dyDescent="0.45">
      <c r="A9" t="s">
        <v>292</v>
      </c>
      <c r="B9" t="s">
        <v>293</v>
      </c>
      <c r="C9" s="14">
        <v>2.5</v>
      </c>
      <c r="D9" t="s">
        <v>285</v>
      </c>
      <c r="L9" t="s">
        <v>311</v>
      </c>
      <c r="M9" t="s">
        <v>305</v>
      </c>
      <c r="N9" s="14">
        <f>AVERAGE(1116.6,1104)</f>
        <v>1110.3</v>
      </c>
      <c r="O9" t="s">
        <v>285</v>
      </c>
    </row>
    <row r="10" spans="1:17" x14ac:dyDescent="0.35">
      <c r="A10" t="s">
        <v>40</v>
      </c>
      <c r="B10" t="s">
        <v>294</v>
      </c>
      <c r="C10" s="14">
        <v>6000</v>
      </c>
      <c r="D10" t="s">
        <v>285</v>
      </c>
      <c r="L10" t="s">
        <v>309</v>
      </c>
      <c r="N10" s="14">
        <v>0.2</v>
      </c>
      <c r="Q10">
        <f>N10*((N10-0.2)*(N9-N8)/(0.22-0.2)+N8)</f>
        <v>219.21000000000004</v>
      </c>
    </row>
    <row r="11" spans="1:17" x14ac:dyDescent="0.35">
      <c r="A11" t="s">
        <v>296</v>
      </c>
      <c r="B11" t="s">
        <v>136</v>
      </c>
      <c r="C11" s="16">
        <v>0.32</v>
      </c>
      <c r="D11" t="s">
        <v>285</v>
      </c>
    </row>
    <row r="12" spans="1:17" x14ac:dyDescent="0.35">
      <c r="A12" t="s">
        <v>297</v>
      </c>
      <c r="B12" t="s">
        <v>136</v>
      </c>
      <c r="C12" s="16">
        <v>0.30299999999999999</v>
      </c>
      <c r="D12" t="s">
        <v>285</v>
      </c>
    </row>
    <row r="13" spans="1:17" x14ac:dyDescent="0.35">
      <c r="A13" t="s">
        <v>329</v>
      </c>
      <c r="B13" t="s">
        <v>31</v>
      </c>
      <c r="C13" s="45">
        <f>C3*C5/C4</f>
        <v>0.67466666666666686</v>
      </c>
    </row>
    <row r="14" spans="1:17" x14ac:dyDescent="0.35">
      <c r="L14" s="1" t="s">
        <v>333</v>
      </c>
      <c r="N14" s="11"/>
    </row>
    <row r="15" spans="1:17" ht="16.5" x14ac:dyDescent="0.45">
      <c r="A15" s="1" t="s">
        <v>241</v>
      </c>
      <c r="B15" t="s">
        <v>299</v>
      </c>
      <c r="C15" s="37">
        <f>((1000/'Base operation parameters'!D64)*1*'Base operation parameters'!C1)/'KCl Elec'!C3*C4/(3600000)</f>
        <v>1557.7078267833656</v>
      </c>
      <c r="D15" s="37">
        <f>C15/1000*'Base operation parameters'!D64</f>
        <v>8.7396132246376795E-2</v>
      </c>
      <c r="E15" t="s">
        <v>300</v>
      </c>
      <c r="F15" s="24">
        <f>D15*3600*1000</f>
        <v>314626.07608695648</v>
      </c>
      <c r="G15" t="s">
        <v>348</v>
      </c>
      <c r="L15" t="s">
        <v>8</v>
      </c>
      <c r="M15" t="s">
        <v>10</v>
      </c>
      <c r="N15" t="s">
        <v>9</v>
      </c>
      <c r="O15" t="s">
        <v>11</v>
      </c>
    </row>
    <row r="16" spans="1:17" ht="16.5" x14ac:dyDescent="0.45">
      <c r="A16" t="s">
        <v>350</v>
      </c>
      <c r="B16" t="s">
        <v>351</v>
      </c>
      <c r="C16">
        <f>1000/'Base operation parameters'!D66*'Base operation parameters'!D64/1000</f>
        <v>0.75258011294281768</v>
      </c>
      <c r="L16" t="s">
        <v>335</v>
      </c>
      <c r="M16" t="s">
        <v>336</v>
      </c>
      <c r="N16">
        <v>30000</v>
      </c>
      <c r="O16" t="s">
        <v>237</v>
      </c>
    </row>
    <row r="17" spans="1:15" ht="16.5" x14ac:dyDescent="0.45">
      <c r="A17" s="1" t="s">
        <v>301</v>
      </c>
      <c r="L17" t="s">
        <v>343</v>
      </c>
      <c r="M17" t="s">
        <v>337</v>
      </c>
      <c r="N17">
        <v>300000</v>
      </c>
      <c r="O17" t="s">
        <v>284</v>
      </c>
    </row>
    <row r="18" spans="1:15" ht="16.5" x14ac:dyDescent="0.45">
      <c r="A18" t="s">
        <v>302</v>
      </c>
      <c r="B18" t="s">
        <v>303</v>
      </c>
      <c r="C18" s="37">
        <f>(1000/'Base operation parameters'!D64)/2*'Base operation parameters'!D71/1000</f>
        <v>0.63189770718074489</v>
      </c>
      <c r="D18" s="33"/>
      <c r="L18" t="s">
        <v>341</v>
      </c>
      <c r="M18" t="s">
        <v>31</v>
      </c>
      <c r="N18" s="3">
        <v>0.45</v>
      </c>
      <c r="O18" t="s">
        <v>284</v>
      </c>
    </row>
    <row r="19" spans="1:15" ht="16.5" x14ac:dyDescent="0.45">
      <c r="A19" t="s">
        <v>81</v>
      </c>
      <c r="B19" t="s">
        <v>304</v>
      </c>
      <c r="C19" s="37">
        <f>(1000/'Base operation parameters'!D64)/2*'Base operation parameters'!D59/1000</f>
        <v>1.7965051616950892E-2</v>
      </c>
    </row>
    <row r="21" spans="1:15" x14ac:dyDescent="0.35">
      <c r="A21" s="1" t="s">
        <v>320</v>
      </c>
    </row>
    <row r="22" spans="1:15" x14ac:dyDescent="0.35">
      <c r="A22" t="s">
        <v>319</v>
      </c>
      <c r="B22" t="s">
        <v>201</v>
      </c>
      <c r="C22" s="39">
        <f>C26-C32</f>
        <v>8258.128916583777</v>
      </c>
      <c r="F22" t="s">
        <v>322</v>
      </c>
      <c r="G22" s="14">
        <v>8258.1289270000507</v>
      </c>
    </row>
    <row r="23" spans="1:15" x14ac:dyDescent="0.35">
      <c r="A23" t="s">
        <v>323</v>
      </c>
      <c r="B23" t="s">
        <v>201</v>
      </c>
      <c r="C23" s="39">
        <f>C36-C29</f>
        <v>6214.9035999999905</v>
      </c>
      <c r="D23" t="s">
        <v>346</v>
      </c>
      <c r="E23" s="13">
        <f>C23/'Base operation parameters'!D64/1000</f>
        <v>110.77153795699522</v>
      </c>
      <c r="F23" t="s">
        <v>321</v>
      </c>
      <c r="G23" s="38">
        <f>G22/'Base operation parameters'!D66*'Base operation parameters'!D64</f>
        <v>6214.9036005780472</v>
      </c>
    </row>
    <row r="24" spans="1:15" x14ac:dyDescent="0.35">
      <c r="A24" t="s">
        <v>347</v>
      </c>
      <c r="B24" t="s">
        <v>201</v>
      </c>
      <c r="C24" s="44">
        <f>E23*C9*1000*'Base operation parameters'!D61</f>
        <v>4988.9562193916399</v>
      </c>
      <c r="D24" t="s">
        <v>346</v>
      </c>
      <c r="E24" s="13">
        <f>C24/1000/'Base operation parameters'!D61</f>
        <v>276.92884489248803</v>
      </c>
    </row>
    <row r="25" spans="1:15" x14ac:dyDescent="0.35">
      <c r="A25" s="5" t="s">
        <v>315</v>
      </c>
      <c r="E25" s="13"/>
    </row>
    <row r="26" spans="1:15" x14ac:dyDescent="0.35">
      <c r="A26" t="s">
        <v>196</v>
      </c>
      <c r="B26" t="s">
        <v>201</v>
      </c>
      <c r="C26" s="42">
        <v>24304.418186948846</v>
      </c>
    </row>
    <row r="27" spans="1:15" x14ac:dyDescent="0.35">
      <c r="A27" t="s">
        <v>197</v>
      </c>
      <c r="B27" t="s">
        <v>201</v>
      </c>
      <c r="C27" s="35">
        <f>(1-N7)*C26/N7</f>
        <v>69174.113301315941</v>
      </c>
      <c r="D27">
        <f>C27+C26</f>
        <v>93478.531488264794</v>
      </c>
    </row>
    <row r="28" spans="1:15" x14ac:dyDescent="0.35">
      <c r="A28" s="5" t="s">
        <v>318</v>
      </c>
    </row>
    <row r="29" spans="1:15" x14ac:dyDescent="0.35">
      <c r="A29" t="s">
        <v>295</v>
      </c>
      <c r="B29" t="s">
        <v>201</v>
      </c>
      <c r="C29" s="42">
        <v>58251.836511627836</v>
      </c>
    </row>
    <row r="30" spans="1:15" x14ac:dyDescent="0.35">
      <c r="A30" t="s">
        <v>197</v>
      </c>
      <c r="B30" t="s">
        <v>201</v>
      </c>
      <c r="C30" s="35">
        <f>C29/C12*(1-C12)</f>
        <v>133998.44900529573</v>
      </c>
    </row>
    <row r="31" spans="1:15" x14ac:dyDescent="0.35">
      <c r="A31" s="5" t="s">
        <v>316</v>
      </c>
    </row>
    <row r="32" spans="1:15" x14ac:dyDescent="0.35">
      <c r="A32" t="s">
        <v>196</v>
      </c>
      <c r="B32" t="s">
        <v>201</v>
      </c>
      <c r="C32" s="36">
        <f>N10*C33/(1-N10)</f>
        <v>16046.289270365069</v>
      </c>
    </row>
    <row r="33" spans="1:14" x14ac:dyDescent="0.35">
      <c r="A33" t="s">
        <v>197</v>
      </c>
      <c r="B33" t="s">
        <v>201</v>
      </c>
      <c r="C33" s="36">
        <f>C27-G22/'Base operation parameters'!D66*'Base operation parameters'!D61*C9</f>
        <v>64185.157081460275</v>
      </c>
      <c r="E33" s="46">
        <f>C33+C32</f>
        <v>80231.446351825347</v>
      </c>
    </row>
    <row r="34" spans="1:14" x14ac:dyDescent="0.35">
      <c r="A34" t="s">
        <v>302</v>
      </c>
      <c r="B34" t="s">
        <v>201</v>
      </c>
      <c r="C34" s="36">
        <f>C18*C23</f>
        <v>3927.1833351893515</v>
      </c>
      <c r="D34" t="s">
        <v>346</v>
      </c>
      <c r="E34" s="2">
        <f>C34/'Base operation parameters'!D71/1000</f>
        <v>55.385768978497609</v>
      </c>
    </row>
    <row r="35" spans="1:14" ht="15" thickBot="1" x14ac:dyDescent="0.4">
      <c r="A35" s="5" t="s">
        <v>317</v>
      </c>
      <c r="G35" s="1" t="s">
        <v>324</v>
      </c>
    </row>
    <row r="36" spans="1:14" ht="15.5" thickTop="1" thickBot="1" x14ac:dyDescent="0.4">
      <c r="A36" t="s">
        <v>295</v>
      </c>
      <c r="B36" t="s">
        <v>201</v>
      </c>
      <c r="C36" s="38">
        <f>C11*C37/(1-C11)</f>
        <v>64466.740111627827</v>
      </c>
      <c r="G36" s="5" t="s">
        <v>325</v>
      </c>
      <c r="H36" t="s">
        <v>201</v>
      </c>
      <c r="I36" s="43">
        <f>SUM(C26:C27,C29:C30)</f>
        <v>285728.81700518832</v>
      </c>
    </row>
    <row r="37" spans="1:14" ht="15.5" thickTop="1" thickBot="1" x14ac:dyDescent="0.4">
      <c r="A37" t="s">
        <v>197</v>
      </c>
      <c r="B37" t="s">
        <v>201</v>
      </c>
      <c r="C37" s="38">
        <f>C30+(C27-C33)-G23/'Base operation parameters'!D64*'Base operation parameters'!D61</f>
        <v>136991.82273720912</v>
      </c>
      <c r="G37" s="5" t="s">
        <v>326</v>
      </c>
      <c r="H37" t="s">
        <v>201</v>
      </c>
      <c r="I37" s="43">
        <f>SUM(C32:C34,C36:C38)</f>
        <v>285728.84359981999</v>
      </c>
    </row>
    <row r="38" spans="1:14" ht="15.5" thickTop="1" thickBot="1" x14ac:dyDescent="0.4">
      <c r="A38" t="s">
        <v>81</v>
      </c>
      <c r="B38" t="s">
        <v>201</v>
      </c>
      <c r="C38" s="37">
        <f>C19*C23</f>
        <v>111.65106396837375</v>
      </c>
      <c r="D38" t="s">
        <v>346</v>
      </c>
      <c r="E38" s="13">
        <f>C38/'Base operation parameters'!D59/1000</f>
        <v>55.385768978497609</v>
      </c>
      <c r="G38" s="5" t="s">
        <v>327</v>
      </c>
      <c r="H38" t="s">
        <v>201</v>
      </c>
      <c r="I38" s="41">
        <f>I36-I37</f>
        <v>-2.6594631664920598E-2</v>
      </c>
    </row>
    <row r="39" spans="1:14" ht="15" thickTop="1" x14ac:dyDescent="0.35"/>
    <row r="40" spans="1:14" x14ac:dyDescent="0.35">
      <c r="A40" s="1" t="s">
        <v>332</v>
      </c>
      <c r="L40" s="1" t="s">
        <v>338</v>
      </c>
    </row>
    <row r="41" spans="1:14" x14ac:dyDescent="0.35">
      <c r="A41" t="s">
        <v>334</v>
      </c>
      <c r="B41" t="s">
        <v>328</v>
      </c>
      <c r="C41" s="133">
        <f>C15*C23/1000</f>
        <v>9681.0039804241005</v>
      </c>
      <c r="L41" s="5" t="s">
        <v>57</v>
      </c>
    </row>
    <row r="42" spans="1:14" x14ac:dyDescent="0.35">
      <c r="A42" t="s">
        <v>160</v>
      </c>
      <c r="B42" t="s">
        <v>328</v>
      </c>
      <c r="C42" s="40">
        <f>C41*(1-C13)</f>
        <v>3149.553294964639</v>
      </c>
      <c r="L42" t="s">
        <v>673</v>
      </c>
      <c r="M42" t="s">
        <v>163</v>
      </c>
      <c r="N42">
        <f>C44*'Base operation parameters'!C41</f>
        <v>806750.33170200838</v>
      </c>
    </row>
    <row r="43" spans="1:14" x14ac:dyDescent="0.35">
      <c r="A43" t="s">
        <v>331</v>
      </c>
      <c r="B43" t="s">
        <v>156</v>
      </c>
      <c r="C43" s="40">
        <f>C41*1000/C4</f>
        <v>3227001.3268080335</v>
      </c>
      <c r="L43" t="s">
        <v>340</v>
      </c>
      <c r="M43" t="s">
        <v>163</v>
      </c>
      <c r="N43">
        <f>N17*C34/1000*24*'Base operation parameters'!C19/'Base operation parameters'!C15</f>
        <v>57124939.867819272</v>
      </c>
    </row>
    <row r="44" spans="1:14" x14ac:dyDescent="0.35">
      <c r="A44" t="s">
        <v>264</v>
      </c>
      <c r="B44" t="s">
        <v>330</v>
      </c>
      <c r="C44" s="40">
        <f>C43/C10</f>
        <v>537.83355446800556</v>
      </c>
    </row>
    <row r="46" spans="1:14" x14ac:dyDescent="0.35">
      <c r="L46" s="5" t="s">
        <v>50</v>
      </c>
    </row>
    <row r="47" spans="1:14" x14ac:dyDescent="0.35">
      <c r="L47" t="s">
        <v>342</v>
      </c>
      <c r="M47" t="s">
        <v>163</v>
      </c>
      <c r="N47">
        <f>C41*'Base operation parameters'!C8*'Base operation parameters'!C32</f>
        <v>3872401.5921696406</v>
      </c>
    </row>
    <row r="48" spans="1:14" x14ac:dyDescent="0.35">
      <c r="L48" t="s">
        <v>345</v>
      </c>
      <c r="M48" t="s">
        <v>163</v>
      </c>
      <c r="N48">
        <f>N47/N18</f>
        <v>8605336.8714880906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28FCE-D6E2-4757-8B28-494814DDE6EA}">
  <dimension ref="A1:AB52"/>
  <sheetViews>
    <sheetView topLeftCell="A26" zoomScale="85" zoomScaleNormal="85" workbookViewId="0">
      <selection activeCell="H39" sqref="H39"/>
    </sheetView>
  </sheetViews>
  <sheetFormatPr defaultColWidth="8.6328125" defaultRowHeight="14.5" x14ac:dyDescent="0.35"/>
  <cols>
    <col min="1" max="1" width="8.90625" bestFit="1" customWidth="1"/>
    <col min="2" max="2" width="20.453125" bestFit="1" customWidth="1"/>
    <col min="3" max="3" width="18.6328125" bestFit="1" customWidth="1"/>
    <col min="4" max="4" width="20.7265625" bestFit="1" customWidth="1"/>
    <col min="5" max="5" width="25.7265625" bestFit="1" customWidth="1"/>
    <col min="6" max="6" width="15.54296875" bestFit="1" customWidth="1"/>
    <col min="7" max="7" width="19.54296875" bestFit="1" customWidth="1"/>
    <col min="8" max="8" width="21.1796875" bestFit="1" customWidth="1"/>
    <col min="9" max="9" width="21.7265625" hidden="1" customWidth="1"/>
    <col min="10" max="10" width="19.54296875" bestFit="1" customWidth="1"/>
    <col min="11" max="11" width="21.1796875" bestFit="1" customWidth="1"/>
    <col min="12" max="12" width="21.7265625" hidden="1" customWidth="1"/>
    <col min="13" max="13" width="18.81640625" bestFit="1" customWidth="1"/>
    <col min="14" max="14" width="24.08984375" bestFit="1" customWidth="1"/>
    <col min="15" max="15" width="10.36328125" bestFit="1" customWidth="1"/>
    <col min="16" max="16" width="11.7265625" bestFit="1" customWidth="1"/>
    <col min="17" max="18" width="1.81640625" bestFit="1" customWidth="1"/>
    <col min="19" max="20" width="5.36328125" bestFit="1" customWidth="1"/>
    <col min="21" max="26" width="20.7265625" customWidth="1"/>
  </cols>
  <sheetData>
    <row r="1" spans="1:28" x14ac:dyDescent="0.35">
      <c r="G1" s="167" t="s">
        <v>695</v>
      </c>
      <c r="H1" s="167"/>
      <c r="I1" s="167"/>
      <c r="J1" s="167" t="s">
        <v>696</v>
      </c>
      <c r="K1" s="167"/>
      <c r="L1" s="167"/>
    </row>
    <row r="2" spans="1:28" x14ac:dyDescent="0.35">
      <c r="A2" s="1" t="s">
        <v>603</v>
      </c>
      <c r="B2" s="1" t="s">
        <v>395</v>
      </c>
      <c r="C2" s="1" t="s">
        <v>10</v>
      </c>
      <c r="D2" s="1" t="s">
        <v>396</v>
      </c>
      <c r="E2" s="1" t="s">
        <v>397</v>
      </c>
      <c r="F2" s="1" t="s">
        <v>697</v>
      </c>
      <c r="G2" s="1" t="s">
        <v>546</v>
      </c>
      <c r="H2" s="1" t="s">
        <v>547</v>
      </c>
      <c r="I2" s="1" t="s">
        <v>588</v>
      </c>
      <c r="J2" s="1" t="s">
        <v>546</v>
      </c>
      <c r="K2" s="1" t="s">
        <v>547</v>
      </c>
      <c r="L2" s="1" t="s">
        <v>588</v>
      </c>
      <c r="M2" s="1" t="s">
        <v>553</v>
      </c>
      <c r="N2" s="1" t="s">
        <v>632</v>
      </c>
      <c r="O2" s="1" t="s">
        <v>554</v>
      </c>
      <c r="P2" s="1" t="s">
        <v>555</v>
      </c>
      <c r="Q2" s="167" t="s">
        <v>662</v>
      </c>
      <c r="R2" s="167"/>
      <c r="S2" s="167" t="s">
        <v>633</v>
      </c>
      <c r="T2" s="167"/>
      <c r="W2" s="1" t="s">
        <v>143</v>
      </c>
    </row>
    <row r="3" spans="1:28" x14ac:dyDescent="0.35">
      <c r="B3" s="68" t="s">
        <v>531</v>
      </c>
      <c r="C3" s="68" t="s">
        <v>542</v>
      </c>
      <c r="D3" s="68" t="s">
        <v>544</v>
      </c>
      <c r="E3" s="68" t="s">
        <v>545</v>
      </c>
      <c r="F3" s="69">
        <v>19186.623299999999</v>
      </c>
      <c r="G3" s="69">
        <v>560</v>
      </c>
      <c r="H3" s="69">
        <v>128.10410400000001</v>
      </c>
      <c r="I3" s="69">
        <f>ABS($F3)/ABS(G3-H3)</f>
        <v>44.42418526709038</v>
      </c>
      <c r="J3" s="69">
        <v>104.104134</v>
      </c>
      <c r="K3" s="69">
        <v>550</v>
      </c>
      <c r="L3" s="69">
        <f>ABS($F3)/ABS(J3-K3)</f>
        <v>43.029381438580096</v>
      </c>
      <c r="M3" s="69">
        <f>F3</f>
        <v>19186.623299999999</v>
      </c>
      <c r="N3" s="69"/>
      <c r="O3" s="69">
        <v>0</v>
      </c>
      <c r="P3" s="68"/>
      <c r="Q3" s="76"/>
      <c r="X3" t="s">
        <v>623</v>
      </c>
    </row>
    <row r="4" spans="1:28" x14ac:dyDescent="0.35">
      <c r="B4" s="68" t="s">
        <v>531</v>
      </c>
      <c r="C4" s="68" t="s">
        <v>559</v>
      </c>
      <c r="D4" s="68" t="s">
        <v>544</v>
      </c>
      <c r="E4" s="68" t="s">
        <v>560</v>
      </c>
      <c r="F4" s="69">
        <v>3751.8517700000002</v>
      </c>
      <c r="G4" s="69">
        <v>652.98984721204397</v>
      </c>
      <c r="H4" s="69">
        <v>42.997777744695</v>
      </c>
      <c r="I4" s="69">
        <f>ABS($F4)/ABS(G4-H4)</f>
        <v>6.1506566360381596</v>
      </c>
      <c r="J4" s="69">
        <v>32.53</v>
      </c>
      <c r="K4" s="69">
        <v>550</v>
      </c>
      <c r="L4" s="69">
        <f>ABS($F4)/ABS(J4-K4)</f>
        <v>7.2503754227298201</v>
      </c>
      <c r="M4" s="69">
        <f>F4</f>
        <v>3751.8517700000002</v>
      </c>
      <c r="N4" s="69"/>
      <c r="O4" s="69">
        <v>0</v>
      </c>
      <c r="P4" s="68"/>
      <c r="Q4" s="76"/>
      <c r="X4" t="s">
        <v>624</v>
      </c>
      <c r="AA4" s="67"/>
    </row>
    <row r="5" spans="1:28" x14ac:dyDescent="0.35">
      <c r="B5" s="68" t="s">
        <v>531</v>
      </c>
      <c r="C5" s="68" t="s">
        <v>548</v>
      </c>
      <c r="D5" s="68" t="s">
        <v>544</v>
      </c>
      <c r="E5" s="68" t="s">
        <v>549</v>
      </c>
      <c r="F5" s="69">
        <v>-6606.9614000000001</v>
      </c>
      <c r="G5" s="69">
        <v>700</v>
      </c>
      <c r="H5" s="69">
        <v>560</v>
      </c>
      <c r="I5" s="69">
        <f>ABS($F5)/ABS(G5-H5)</f>
        <v>47.19258142857143</v>
      </c>
      <c r="J5" s="69">
        <v>90</v>
      </c>
      <c r="K5" s="69">
        <v>251</v>
      </c>
      <c r="L5" s="69">
        <f>ABS($F5)/ABS(J5-K5)</f>
        <v>41.037027329192547</v>
      </c>
      <c r="M5" s="69">
        <f>F5</f>
        <v>-6606.9614000000001</v>
      </c>
      <c r="N5" s="69"/>
      <c r="O5" s="69">
        <v>0</v>
      </c>
      <c r="P5" s="68"/>
      <c r="Q5" s="76"/>
      <c r="X5">
        <v>2163.46</v>
      </c>
    </row>
    <row r="6" spans="1:28" x14ac:dyDescent="0.35">
      <c r="B6" s="68" t="s">
        <v>531</v>
      </c>
      <c r="C6" s="68" t="s">
        <v>550</v>
      </c>
      <c r="D6" s="68" t="s">
        <v>544</v>
      </c>
      <c r="E6" s="68" t="s">
        <v>551</v>
      </c>
      <c r="F6" s="69">
        <v>-321.35987399999999</v>
      </c>
      <c r="G6" s="69">
        <v>700</v>
      </c>
      <c r="H6" s="69">
        <v>652.99</v>
      </c>
      <c r="I6" s="69">
        <f>ABS($F6)/ABS(G6-H6)</f>
        <v>6.8359896617740921</v>
      </c>
      <c r="J6" s="69">
        <v>90</v>
      </c>
      <c r="K6" s="69">
        <v>251</v>
      </c>
      <c r="L6" s="69">
        <f>ABS($F6)/ABS(J6-K6)</f>
        <v>1.9960240621118013</v>
      </c>
      <c r="M6" s="69">
        <f>F6</f>
        <v>-321.35987399999999</v>
      </c>
      <c r="N6" s="69"/>
      <c r="O6" s="69">
        <v>0</v>
      </c>
      <c r="P6" s="68"/>
      <c r="Q6" s="76"/>
    </row>
    <row r="7" spans="1:28" x14ac:dyDescent="0.35">
      <c r="B7" s="70" t="s">
        <v>531</v>
      </c>
      <c r="C7" s="70" t="s">
        <v>104</v>
      </c>
      <c r="D7" s="70" t="s">
        <v>552</v>
      </c>
      <c r="E7" s="70"/>
      <c r="F7" s="71">
        <f>-Electrolyzer!L139*1000</f>
        <v>-30598.96778714595</v>
      </c>
      <c r="G7" s="71">
        <v>60</v>
      </c>
      <c r="H7" s="71">
        <v>60</v>
      </c>
      <c r="I7" s="71"/>
      <c r="J7" s="71">
        <v>30</v>
      </c>
      <c r="K7" s="71">
        <v>40</v>
      </c>
      <c r="L7" s="71">
        <f>ABS(F7)/ABS(J7-K7)</f>
        <v>3059.8967787145948</v>
      </c>
      <c r="M7" s="71">
        <f>2018300.37/1000</f>
        <v>2018.3003700000002</v>
      </c>
      <c r="N7" s="71" t="s">
        <v>659</v>
      </c>
      <c r="O7" s="71">
        <f>F7+M7</f>
        <v>-28580.667417145949</v>
      </c>
      <c r="P7" s="70" t="s">
        <v>589</v>
      </c>
      <c r="X7" t="s">
        <v>629</v>
      </c>
      <c r="Y7" t="s">
        <v>625</v>
      </c>
      <c r="AA7" t="s">
        <v>626</v>
      </c>
      <c r="AB7" t="s">
        <v>630</v>
      </c>
    </row>
    <row r="8" spans="1:28" ht="15" thickBot="1" x14ac:dyDescent="0.4">
      <c r="B8" s="70" t="s">
        <v>556</v>
      </c>
      <c r="C8" s="70" t="s">
        <v>651</v>
      </c>
      <c r="D8" s="70" t="s">
        <v>658</v>
      </c>
      <c r="E8" s="70"/>
      <c r="F8" s="71">
        <v>-2106.8809999999999</v>
      </c>
      <c r="G8" s="71">
        <v>60</v>
      </c>
      <c r="H8" s="71">
        <v>60</v>
      </c>
      <c r="I8" s="71"/>
      <c r="J8" s="71">
        <v>30</v>
      </c>
      <c r="K8" s="71">
        <v>40</v>
      </c>
      <c r="L8" s="71">
        <f>ABS(F8)/ABS(J8-K8)</f>
        <v>210.68809999999999</v>
      </c>
      <c r="M8" s="71">
        <v>0</v>
      </c>
      <c r="N8" s="71"/>
      <c r="O8" s="71">
        <f>F8</f>
        <v>-2106.8809999999999</v>
      </c>
      <c r="P8" s="70" t="s">
        <v>589</v>
      </c>
      <c r="X8" t="s">
        <v>201</v>
      </c>
      <c r="Y8" t="s">
        <v>201</v>
      </c>
      <c r="AA8" t="s">
        <v>201</v>
      </c>
      <c r="AB8" t="s">
        <v>328</v>
      </c>
    </row>
    <row r="9" spans="1:28" ht="29" x14ac:dyDescent="0.35">
      <c r="B9" s="83" t="s">
        <v>556</v>
      </c>
      <c r="C9" s="84" t="s">
        <v>558</v>
      </c>
      <c r="D9" s="84" t="s">
        <v>544</v>
      </c>
      <c r="E9" s="84" t="s">
        <v>557</v>
      </c>
      <c r="F9" s="176">
        <v>-1836.5719999999999</v>
      </c>
      <c r="G9" s="85">
        <v>60</v>
      </c>
      <c r="H9" s="85">
        <v>40</v>
      </c>
      <c r="I9" s="85">
        <f ca="1">ABS($O9)/ABS(G9-H9)</f>
        <v>52.473485714285708</v>
      </c>
      <c r="J9" s="85">
        <v>30</v>
      </c>
      <c r="K9" s="85">
        <v>40</v>
      </c>
      <c r="L9" s="85">
        <f ca="1">ABS($O9)/ABS(J9-K9)</f>
        <v>104.94697142857142</v>
      </c>
      <c r="M9" s="85">
        <v>0</v>
      </c>
      <c r="N9" s="85"/>
      <c r="O9" s="85">
        <f ca="1">-I9*(G9-S9)</f>
        <v>-1049.4697142857142</v>
      </c>
      <c r="P9" s="84" t="s">
        <v>589</v>
      </c>
      <c r="Q9" s="87"/>
      <c r="R9" s="87"/>
      <c r="S9" s="97">
        <v>40</v>
      </c>
      <c r="T9" s="88"/>
      <c r="W9" s="23" t="s">
        <v>628</v>
      </c>
      <c r="X9">
        <f>6000+F15/X5*3600</f>
        <v>12642.343283444112</v>
      </c>
      <c r="Y9">
        <v>10340.7433201312</v>
      </c>
      <c r="AA9">
        <f>X9-Y9</f>
        <v>2301.5999633129122</v>
      </c>
      <c r="AB9">
        <f>AA9*X5/3600</f>
        <v>1383.1720712858203</v>
      </c>
    </row>
    <row r="10" spans="1:28" ht="15" thickBot="1" x14ac:dyDescent="0.4">
      <c r="B10" s="89" t="s">
        <v>556</v>
      </c>
      <c r="C10" s="90" t="s">
        <v>665</v>
      </c>
      <c r="D10" s="90" t="s">
        <v>544</v>
      </c>
      <c r="E10" s="90" t="s">
        <v>666</v>
      </c>
      <c r="F10" s="177"/>
      <c r="G10" s="91">
        <f>H9</f>
        <v>40</v>
      </c>
      <c r="H10" s="91">
        <v>25</v>
      </c>
      <c r="I10" s="91">
        <f ca="1">ABS(O10)/ABS(G10-H10)</f>
        <v>52.473485714285715</v>
      </c>
      <c r="J10" s="91">
        <v>10</v>
      </c>
      <c r="K10" s="91">
        <v>20</v>
      </c>
      <c r="L10" s="91">
        <f ca="1">ABS($O10)/ABS(J10-K10)</f>
        <v>78.710228571428573</v>
      </c>
      <c r="M10" s="91">
        <v>0</v>
      </c>
      <c r="N10" s="91"/>
      <c r="O10" s="91">
        <f ca="1">-O9+F9</f>
        <v>-787.1022857142857</v>
      </c>
      <c r="P10" s="90" t="s">
        <v>637</v>
      </c>
      <c r="Q10" s="92"/>
      <c r="R10" s="92"/>
      <c r="S10" s="102"/>
      <c r="T10" s="93"/>
      <c r="W10" s="23"/>
    </row>
    <row r="11" spans="1:28" ht="15" thickBot="1" x14ac:dyDescent="0.4">
      <c r="B11" s="72" t="s">
        <v>556</v>
      </c>
      <c r="C11" s="72" t="s">
        <v>561</v>
      </c>
      <c r="D11" s="72" t="s">
        <v>544</v>
      </c>
      <c r="E11" s="72" t="s">
        <v>562</v>
      </c>
      <c r="F11" s="73">
        <v>3448.3331600000001</v>
      </c>
      <c r="G11" s="73"/>
      <c r="H11" s="73"/>
      <c r="I11" s="73"/>
      <c r="J11" s="73">
        <v>27.43</v>
      </c>
      <c r="K11" s="73">
        <v>75.319999999999993</v>
      </c>
      <c r="L11" s="73">
        <f>ABS($F11)/ABS(J11-K11)</f>
        <v>72.005286281060776</v>
      </c>
      <c r="M11" s="73">
        <f>F11</f>
        <v>3448.3331600000001</v>
      </c>
      <c r="N11" s="73" t="str">
        <f>C18</f>
        <v>SS-COND</v>
      </c>
      <c r="O11" s="73">
        <v>0</v>
      </c>
      <c r="P11" s="72"/>
      <c r="Q11" s="76">
        <v>3</v>
      </c>
      <c r="W11" t="s">
        <v>627</v>
      </c>
      <c r="AA11">
        <f>AB11/X5*3600</f>
        <v>4666.8927812989159</v>
      </c>
      <c r="AB11" s="67">
        <f>AB9+F24</f>
        <v>2804.6210712858201</v>
      </c>
    </row>
    <row r="12" spans="1:28" x14ac:dyDescent="0.35">
      <c r="B12" s="83" t="s">
        <v>556</v>
      </c>
      <c r="C12" s="84" t="s">
        <v>563</v>
      </c>
      <c r="D12" s="84" t="s">
        <v>564</v>
      </c>
      <c r="E12" s="84" t="s">
        <v>565</v>
      </c>
      <c r="F12" s="178">
        <v>-6202.5981199999997</v>
      </c>
      <c r="G12" s="85">
        <v>72.62</v>
      </c>
      <c r="H12" s="85">
        <f>G12</f>
        <v>72.62</v>
      </c>
      <c r="I12" s="85"/>
      <c r="J12" s="85">
        <f>J16</f>
        <v>28.51</v>
      </c>
      <c r="K12" s="85">
        <f>S16</f>
        <v>62.620000000000005</v>
      </c>
      <c r="L12" s="85">
        <f>ABS($M12)/ABS(J12-K12)</f>
        <v>56.626790105598154</v>
      </c>
      <c r="M12" s="85">
        <f>I16*(S16-J16)</f>
        <v>1931.5398105019531</v>
      </c>
      <c r="N12" s="85" t="s">
        <v>571</v>
      </c>
      <c r="O12" s="85">
        <v>0</v>
      </c>
      <c r="P12" s="84"/>
      <c r="Q12" s="87">
        <v>1</v>
      </c>
      <c r="R12" s="87"/>
      <c r="S12" s="87"/>
      <c r="T12" s="88"/>
      <c r="Z12" t="s">
        <v>675</v>
      </c>
    </row>
    <row r="13" spans="1:28" ht="15" thickBot="1" x14ac:dyDescent="0.4">
      <c r="B13" s="89" t="s">
        <v>556</v>
      </c>
      <c r="C13" s="90" t="s">
        <v>679</v>
      </c>
      <c r="D13" s="90" t="s">
        <v>564</v>
      </c>
      <c r="E13" s="90" t="s">
        <v>680</v>
      </c>
      <c r="F13" s="179"/>
      <c r="G13" s="91">
        <f>G12</f>
        <v>72.62</v>
      </c>
      <c r="H13" s="91">
        <f>H12</f>
        <v>72.62</v>
      </c>
      <c r="I13" s="91"/>
      <c r="J13" s="91">
        <v>30</v>
      </c>
      <c r="K13" s="91">
        <v>40</v>
      </c>
      <c r="L13" s="91">
        <f>ABS($O13)/ABS(J13-K13)</f>
        <v>427.10583094980467</v>
      </c>
      <c r="M13" s="91">
        <v>0</v>
      </c>
      <c r="N13" s="91"/>
      <c r="O13" s="91">
        <f>F12+M12</f>
        <v>-4271.0583094980466</v>
      </c>
      <c r="P13" s="90" t="s">
        <v>589</v>
      </c>
      <c r="Q13" s="92"/>
      <c r="R13" s="92"/>
      <c r="S13" s="92"/>
      <c r="T13" s="93"/>
      <c r="Z13" t="s">
        <v>201</v>
      </c>
    </row>
    <row r="14" spans="1:28" x14ac:dyDescent="0.35">
      <c r="B14" s="68" t="s">
        <v>556</v>
      </c>
      <c r="C14" s="68" t="s">
        <v>569</v>
      </c>
      <c r="D14" s="68" t="s">
        <v>544</v>
      </c>
      <c r="E14" s="68" t="s">
        <v>570</v>
      </c>
      <c r="F14" s="69">
        <v>16000</v>
      </c>
      <c r="G14" s="69">
        <v>107.01</v>
      </c>
      <c r="H14" s="69">
        <v>106.8</v>
      </c>
      <c r="I14" s="69"/>
      <c r="J14" s="69">
        <v>82.846562377441003</v>
      </c>
      <c r="K14" s="69">
        <v>97.003143506174993</v>
      </c>
      <c r="L14" s="69" t="s">
        <v>698</v>
      </c>
      <c r="M14" s="69"/>
      <c r="N14" s="69"/>
      <c r="O14" s="69">
        <v>0</v>
      </c>
      <c r="P14" s="68"/>
      <c r="Q14" s="76"/>
      <c r="W14" t="s">
        <v>881</v>
      </c>
      <c r="Z14">
        <f>9899.92249112001+811.594589330091+4666.89278100002</f>
        <v>15378.40986145012</v>
      </c>
    </row>
    <row r="15" spans="1:28" ht="15" thickBot="1" x14ac:dyDescent="0.4">
      <c r="B15" s="72" t="s">
        <v>556</v>
      </c>
      <c r="C15" s="72" t="s">
        <v>568</v>
      </c>
      <c r="D15" s="72" t="s">
        <v>566</v>
      </c>
      <c r="E15" s="72" t="s">
        <v>567</v>
      </c>
      <c r="F15" s="73">
        <v>3991.79</v>
      </c>
      <c r="G15" s="73">
        <v>134</v>
      </c>
      <c r="H15" s="73">
        <v>133</v>
      </c>
      <c r="I15" s="73"/>
      <c r="J15" s="73">
        <v>118.929147</v>
      </c>
      <c r="K15" s="73">
        <v>118.929147</v>
      </c>
      <c r="L15" s="73"/>
      <c r="M15" s="73">
        <f>F15</f>
        <v>3991.79</v>
      </c>
      <c r="N15" s="73" t="s">
        <v>681</v>
      </c>
      <c r="O15" s="73">
        <v>0</v>
      </c>
      <c r="P15" s="72"/>
      <c r="Q15" s="76"/>
      <c r="W15">
        <v>3945.7129399999999</v>
      </c>
      <c r="X15" t="s">
        <v>328</v>
      </c>
    </row>
    <row r="16" spans="1:28" x14ac:dyDescent="0.35">
      <c r="B16" s="94" t="s">
        <v>556</v>
      </c>
      <c r="C16" s="95" t="s">
        <v>571</v>
      </c>
      <c r="D16" s="95" t="s">
        <v>544</v>
      </c>
      <c r="E16" s="95" t="s">
        <v>572</v>
      </c>
      <c r="F16" s="180">
        <v>3914.61</v>
      </c>
      <c r="G16" s="96"/>
      <c r="H16" s="96"/>
      <c r="I16" s="96">
        <f>ABS(F16)/ABS(J16-K16)</f>
        <v>56.626790105598154</v>
      </c>
      <c r="J16" s="96">
        <v>28.51</v>
      </c>
      <c r="K16" s="96">
        <v>97.64</v>
      </c>
      <c r="L16" s="96"/>
      <c r="M16" s="96">
        <f>M12+ABS(F26)</f>
        <v>3074.5368105019534</v>
      </c>
      <c r="N16" s="96" t="s">
        <v>682</v>
      </c>
      <c r="O16" s="96">
        <v>0</v>
      </c>
      <c r="P16" s="95"/>
      <c r="Q16" s="87">
        <v>1</v>
      </c>
      <c r="R16" s="87">
        <v>2</v>
      </c>
      <c r="S16" s="97">
        <f>G12-10</f>
        <v>62.620000000000005</v>
      </c>
      <c r="T16" s="98">
        <f>J16+M16/I16</f>
        <v>82.804739376336343</v>
      </c>
    </row>
    <row r="17" spans="2:20" ht="15" thickBot="1" x14ac:dyDescent="0.4">
      <c r="B17" s="99" t="s">
        <v>556</v>
      </c>
      <c r="C17" s="100" t="s">
        <v>663</v>
      </c>
      <c r="D17" s="100" t="s">
        <v>544</v>
      </c>
      <c r="E17" s="100" t="s">
        <v>664</v>
      </c>
      <c r="F17" s="181"/>
      <c r="G17" s="101">
        <v>134</v>
      </c>
      <c r="H17" s="101">
        <v>133</v>
      </c>
      <c r="I17" s="101"/>
      <c r="J17" s="101">
        <f>T16</f>
        <v>82.804739376336343</v>
      </c>
      <c r="K17" s="101">
        <f>K16</f>
        <v>97.64</v>
      </c>
      <c r="L17" s="101"/>
      <c r="M17" s="101">
        <v>0</v>
      </c>
      <c r="N17" s="101"/>
      <c r="O17" s="101">
        <f>F16-M16</f>
        <v>840.07318949804676</v>
      </c>
      <c r="P17" s="100" t="s">
        <v>619</v>
      </c>
      <c r="Q17" s="92"/>
      <c r="R17" s="92"/>
      <c r="S17" s="102"/>
      <c r="T17" s="103"/>
    </row>
    <row r="18" spans="2:20" x14ac:dyDescent="0.35">
      <c r="B18" s="83" t="s">
        <v>556</v>
      </c>
      <c r="C18" s="84" t="s">
        <v>573</v>
      </c>
      <c r="D18" s="84" t="s">
        <v>564</v>
      </c>
      <c r="E18" s="84" t="s">
        <v>574</v>
      </c>
      <c r="F18" s="178">
        <v>-3883.02493</v>
      </c>
      <c r="G18" s="85">
        <v>99.44</v>
      </c>
      <c r="H18" s="85">
        <f>G18-M18/I18</f>
        <v>60.134760293079033</v>
      </c>
      <c r="I18" s="85">
        <f>ABS(F18)/ABS(G18-H19)</f>
        <v>87.732149344780851</v>
      </c>
      <c r="J18" s="85">
        <f>J11</f>
        <v>27.43</v>
      </c>
      <c r="K18" s="85">
        <f>K11</f>
        <v>75.319999999999993</v>
      </c>
      <c r="L18" s="85">
        <f>ABS($M18)/ABS(J18-K18)</f>
        <v>72.005286281060776</v>
      </c>
      <c r="M18" s="85">
        <f>M11</f>
        <v>3448.3331600000001</v>
      </c>
      <c r="N18" s="85" t="str">
        <f>C11</f>
        <v>LS-HX2</v>
      </c>
      <c r="O18" s="85">
        <v>0</v>
      </c>
      <c r="P18" s="84"/>
      <c r="Q18" s="86">
        <v>3</v>
      </c>
      <c r="R18" s="87"/>
      <c r="S18" s="87"/>
      <c r="T18" s="88"/>
    </row>
    <row r="19" spans="2:20" ht="15" thickBot="1" x14ac:dyDescent="0.4">
      <c r="B19" s="105" t="s">
        <v>556</v>
      </c>
      <c r="C19" s="80" t="s">
        <v>660</v>
      </c>
      <c r="D19" s="80" t="s">
        <v>564</v>
      </c>
      <c r="E19" s="80" t="s">
        <v>661</v>
      </c>
      <c r="F19" s="179"/>
      <c r="G19" s="81">
        <f>H18</f>
        <v>60.134760293079033</v>
      </c>
      <c r="H19" s="81">
        <v>55.18</v>
      </c>
      <c r="I19" s="81">
        <f>I18</f>
        <v>87.732149344780851</v>
      </c>
      <c r="J19" s="81">
        <v>30</v>
      </c>
      <c r="K19" s="81">
        <v>40</v>
      </c>
      <c r="L19" s="81">
        <f>ABS($O19)/ABS(J19-K19)</f>
        <v>43.469176999999988</v>
      </c>
      <c r="M19" s="81">
        <v>0</v>
      </c>
      <c r="N19" s="81"/>
      <c r="O19" s="81">
        <f>F18+F11</f>
        <v>-434.69176999999991</v>
      </c>
      <c r="P19" s="80" t="s">
        <v>589</v>
      </c>
      <c r="Q19" s="82"/>
      <c r="T19" s="106"/>
    </row>
    <row r="20" spans="2:20" x14ac:dyDescent="0.35">
      <c r="B20" s="83" t="s">
        <v>556</v>
      </c>
      <c r="C20" s="84" t="s">
        <v>576</v>
      </c>
      <c r="D20" s="84" t="s">
        <v>544</v>
      </c>
      <c r="E20" s="84" t="s">
        <v>577</v>
      </c>
      <c r="F20" s="178">
        <v>-3729.8040000000001</v>
      </c>
      <c r="G20" s="85">
        <v>67.09</v>
      </c>
      <c r="H20" s="84">
        <f>S20</f>
        <v>40</v>
      </c>
      <c r="I20" s="85">
        <f>ABS(F20)/ABS(G20-H21)</f>
        <v>88.614967925873117</v>
      </c>
      <c r="J20" s="85">
        <v>30</v>
      </c>
      <c r="K20" s="85">
        <v>40</v>
      </c>
      <c r="L20" s="85"/>
      <c r="M20" s="85">
        <v>0</v>
      </c>
      <c r="N20" s="85"/>
      <c r="O20" s="85">
        <f>-I20*(G20-S20)</f>
        <v>-2400.5794811119031</v>
      </c>
      <c r="P20" s="84" t="s">
        <v>589</v>
      </c>
      <c r="Q20" s="87"/>
      <c r="R20" s="87"/>
      <c r="S20" s="87">
        <v>40</v>
      </c>
      <c r="T20" s="88"/>
    </row>
    <row r="21" spans="2:20" ht="15" thickBot="1" x14ac:dyDescent="0.4">
      <c r="B21" s="89" t="s">
        <v>556</v>
      </c>
      <c r="C21" s="90" t="s">
        <v>667</v>
      </c>
      <c r="D21" s="90" t="s">
        <v>544</v>
      </c>
      <c r="E21" s="90" t="s">
        <v>668</v>
      </c>
      <c r="F21" s="179"/>
      <c r="G21" s="91">
        <f>H20</f>
        <v>40</v>
      </c>
      <c r="H21" s="91">
        <v>25</v>
      </c>
      <c r="I21" s="91"/>
      <c r="J21" s="91">
        <v>10</v>
      </c>
      <c r="K21" s="91">
        <v>20</v>
      </c>
      <c r="L21" s="91"/>
      <c r="M21" s="91">
        <v>0</v>
      </c>
      <c r="N21" s="91"/>
      <c r="O21" s="91">
        <f>F20-O20</f>
        <v>-1329.224518888097</v>
      </c>
      <c r="P21" s="90" t="s">
        <v>637</v>
      </c>
      <c r="Q21" s="92"/>
      <c r="R21" s="92"/>
      <c r="S21" s="92"/>
      <c r="T21" s="93"/>
    </row>
    <row r="22" spans="2:20" x14ac:dyDescent="0.35">
      <c r="B22" s="68" t="s">
        <v>575</v>
      </c>
      <c r="C22" s="68" t="s">
        <v>578</v>
      </c>
      <c r="D22" s="68" t="s">
        <v>544</v>
      </c>
      <c r="E22" s="68" t="s">
        <v>579</v>
      </c>
      <c r="F22" s="69">
        <v>3535.59</v>
      </c>
      <c r="G22" s="69">
        <v>103</v>
      </c>
      <c r="H22" s="69">
        <v>40</v>
      </c>
      <c r="I22" s="69">
        <f>ABS(F22)/ABS(G22-H22)</f>
        <v>56.12047619047619</v>
      </c>
      <c r="J22" s="69">
        <v>30</v>
      </c>
      <c r="K22" s="69">
        <v>93.382902598795994</v>
      </c>
      <c r="L22" s="69"/>
      <c r="M22" s="69">
        <f>F22</f>
        <v>3535.59</v>
      </c>
      <c r="N22" s="69"/>
      <c r="O22" s="69"/>
      <c r="P22" s="68"/>
      <c r="Q22" s="76"/>
    </row>
    <row r="23" spans="2:20" x14ac:dyDescent="0.35">
      <c r="B23" s="70" t="s">
        <v>575</v>
      </c>
      <c r="C23" s="70" t="s">
        <v>580</v>
      </c>
      <c r="D23" s="70" t="s">
        <v>544</v>
      </c>
      <c r="E23" s="70" t="s">
        <v>581</v>
      </c>
      <c r="F23" s="71">
        <v>-554.94500000000005</v>
      </c>
      <c r="G23" s="71">
        <v>40</v>
      </c>
      <c r="H23" s="71">
        <v>30</v>
      </c>
      <c r="I23" s="71">
        <f>ABS(F23)/ABS(G23-H23)</f>
        <v>55.494500000000002</v>
      </c>
      <c r="J23" s="71">
        <v>10</v>
      </c>
      <c r="K23" s="71">
        <v>20</v>
      </c>
      <c r="L23" s="71"/>
      <c r="M23" s="71">
        <v>0</v>
      </c>
      <c r="N23" s="71"/>
      <c r="O23" s="71">
        <f>F23</f>
        <v>-554.94500000000005</v>
      </c>
      <c r="P23" s="70" t="s">
        <v>637</v>
      </c>
      <c r="Q23" s="76"/>
    </row>
    <row r="24" spans="2:20" x14ac:dyDescent="0.35">
      <c r="B24" s="72" t="s">
        <v>575</v>
      </c>
      <c r="C24" s="72" t="s">
        <v>585</v>
      </c>
      <c r="D24" s="72" t="s">
        <v>544</v>
      </c>
      <c r="E24" s="72" t="s">
        <v>622</v>
      </c>
      <c r="F24" s="73">
        <v>1421.4490000000001</v>
      </c>
      <c r="G24" s="73">
        <v>134</v>
      </c>
      <c r="H24" s="73">
        <v>133</v>
      </c>
      <c r="I24" s="73">
        <f>ABS(F24)/ABS(J24-K24)</f>
        <v>129.17055907379103</v>
      </c>
      <c r="J24" s="73">
        <v>91.486586094939994</v>
      </c>
      <c r="K24" s="73">
        <v>102.491020930497</v>
      </c>
      <c r="L24" s="73"/>
      <c r="M24" s="73">
        <f>F24</f>
        <v>1421.4490000000001</v>
      </c>
      <c r="N24" s="73" t="s">
        <v>681</v>
      </c>
      <c r="O24" s="73">
        <v>0</v>
      </c>
      <c r="P24" s="72"/>
      <c r="Q24" s="76"/>
    </row>
    <row r="25" spans="2:20" x14ac:dyDescent="0.35">
      <c r="B25" s="68" t="s">
        <v>575</v>
      </c>
      <c r="C25" s="68" t="s">
        <v>582</v>
      </c>
      <c r="D25" s="68" t="s">
        <v>583</v>
      </c>
      <c r="E25" s="68" t="s">
        <v>584</v>
      </c>
      <c r="F25" s="69">
        <v>28192.408100000001</v>
      </c>
      <c r="G25" s="69"/>
      <c r="H25" s="69"/>
      <c r="I25" s="69"/>
      <c r="J25" s="69"/>
      <c r="K25" s="69"/>
      <c r="L25" s="69"/>
      <c r="M25" s="69">
        <f>-(M5+M6)</f>
        <v>6928.3212739999999</v>
      </c>
      <c r="N25" s="69"/>
      <c r="O25" s="69"/>
      <c r="P25" s="68"/>
      <c r="Q25" s="76"/>
    </row>
    <row r="26" spans="2:20" x14ac:dyDescent="0.35">
      <c r="B26" s="80" t="s">
        <v>575</v>
      </c>
      <c r="C26" s="80" t="s">
        <v>587</v>
      </c>
      <c r="D26" s="80" t="s">
        <v>544</v>
      </c>
      <c r="E26" s="80" t="s">
        <v>586</v>
      </c>
      <c r="F26" s="81">
        <v>-1142.9970000000001</v>
      </c>
      <c r="G26" s="81">
        <v>104.54</v>
      </c>
      <c r="H26" s="81">
        <v>90</v>
      </c>
      <c r="I26" s="81">
        <f>ABS(F26)/ABS(G26-H26)</f>
        <v>78.610522696010975</v>
      </c>
      <c r="J26" s="81">
        <f>S16</f>
        <v>62.620000000000005</v>
      </c>
      <c r="K26" s="81">
        <f>T16</f>
        <v>82.804739376336343</v>
      </c>
      <c r="L26" s="81"/>
      <c r="M26" s="81">
        <f>ABS(F26)</f>
        <v>1142.9970000000001</v>
      </c>
      <c r="N26" s="81" t="s">
        <v>571</v>
      </c>
      <c r="O26" s="81">
        <v>0</v>
      </c>
      <c r="P26" s="80"/>
      <c r="R26">
        <v>2</v>
      </c>
    </row>
    <row r="27" spans="2:20" x14ac:dyDescent="0.35">
      <c r="B27" s="70" t="s">
        <v>639</v>
      </c>
      <c r="C27" s="70" t="s">
        <v>826</v>
      </c>
      <c r="D27" s="70" t="s">
        <v>544</v>
      </c>
      <c r="E27" s="70" t="s">
        <v>815</v>
      </c>
      <c r="F27" s="175">
        <v>-2646.194</v>
      </c>
      <c r="G27" s="71">
        <v>90</v>
      </c>
      <c r="H27" s="74">
        <f>S27</f>
        <v>78.441450245900342</v>
      </c>
      <c r="I27" s="71">
        <f>ABS(F27)/ABS(G27-H28)</f>
        <v>179.16005416384567</v>
      </c>
      <c r="J27" s="71">
        <v>71.2299995443</v>
      </c>
      <c r="K27" s="71">
        <v>71.2299995443</v>
      </c>
      <c r="L27" s="71"/>
      <c r="M27" s="71">
        <v>2070.8303999999998</v>
      </c>
      <c r="N27" s="71" t="s">
        <v>631</v>
      </c>
      <c r="O27" s="71">
        <v>0</v>
      </c>
      <c r="P27" s="70"/>
      <c r="Q27" s="76"/>
      <c r="S27" s="46">
        <f>G27-M27/I27</f>
        <v>78.441450245900342</v>
      </c>
    </row>
    <row r="28" spans="2:20" x14ac:dyDescent="0.35">
      <c r="B28" s="70" t="s">
        <v>575</v>
      </c>
      <c r="C28" s="70" t="s">
        <v>677</v>
      </c>
      <c r="D28" s="70" t="s">
        <v>544</v>
      </c>
      <c r="E28" s="70" t="s">
        <v>678</v>
      </c>
      <c r="F28" s="175"/>
      <c r="G28" s="71">
        <f>S27</f>
        <v>78.441450245900342</v>
      </c>
      <c r="H28" s="71">
        <v>75.23</v>
      </c>
      <c r="I28" s="71"/>
      <c r="J28" s="71">
        <v>30</v>
      </c>
      <c r="K28" s="71">
        <v>40</v>
      </c>
      <c r="L28" s="71"/>
      <c r="M28" s="71">
        <v>0</v>
      </c>
      <c r="N28" s="71"/>
      <c r="O28" s="71">
        <f>F27+M27</f>
        <v>-575.36360000000013</v>
      </c>
      <c r="P28" s="70" t="s">
        <v>589</v>
      </c>
      <c r="Q28" s="76"/>
    </row>
    <row r="29" spans="2:20" x14ac:dyDescent="0.35">
      <c r="B29" s="104" t="s">
        <v>639</v>
      </c>
      <c r="C29" s="68" t="s">
        <v>816</v>
      </c>
      <c r="D29" s="68" t="s">
        <v>544</v>
      </c>
      <c r="E29" s="68" t="s">
        <v>674</v>
      </c>
      <c r="F29" s="69">
        <v>1162.4449999999999</v>
      </c>
      <c r="G29" s="69">
        <v>99.680793862898994</v>
      </c>
      <c r="H29" s="69">
        <v>71.702527754648003</v>
      </c>
      <c r="I29" s="69"/>
      <c r="J29" s="69">
        <v>25</v>
      </c>
      <c r="K29" s="69">
        <v>90</v>
      </c>
      <c r="L29" s="69"/>
      <c r="M29" s="69">
        <f>F29</f>
        <v>1162.4449999999999</v>
      </c>
      <c r="N29" s="68"/>
      <c r="O29" s="69">
        <v>0</v>
      </c>
      <c r="P29" s="68"/>
    </row>
    <row r="30" spans="2:20" x14ac:dyDescent="0.35">
      <c r="B30" s="68" t="s">
        <v>639</v>
      </c>
      <c r="C30" s="68" t="s">
        <v>684</v>
      </c>
      <c r="D30" s="68" t="s">
        <v>544</v>
      </c>
      <c r="E30" s="68" t="s">
        <v>699</v>
      </c>
      <c r="F30" s="69">
        <v>3044.8150000000001</v>
      </c>
      <c r="G30" s="68">
        <v>140</v>
      </c>
      <c r="H30" s="68">
        <v>139.9</v>
      </c>
      <c r="I30" s="68"/>
      <c r="J30" s="68">
        <v>90</v>
      </c>
      <c r="K30" s="68">
        <v>134</v>
      </c>
      <c r="L30" s="68"/>
      <c r="M30" s="68"/>
      <c r="N30" s="68"/>
      <c r="O30" s="69"/>
      <c r="P30" s="68"/>
    </row>
    <row r="35" spans="1:9" x14ac:dyDescent="0.35">
      <c r="B35" s="1" t="s">
        <v>395</v>
      </c>
      <c r="C35" s="1" t="s">
        <v>10</v>
      </c>
      <c r="D35" s="1" t="s">
        <v>396</v>
      </c>
      <c r="E35" s="1" t="s">
        <v>397</v>
      </c>
      <c r="F35" s="1" t="s">
        <v>605</v>
      </c>
      <c r="G35" s="1"/>
    </row>
    <row r="36" spans="1:9" x14ac:dyDescent="0.35">
      <c r="A36" s="1" t="s">
        <v>604</v>
      </c>
      <c r="B36" t="s">
        <v>531</v>
      </c>
      <c r="C36" t="s">
        <v>38</v>
      </c>
      <c r="D36" t="s">
        <v>552</v>
      </c>
      <c r="F36" s="67">
        <f>Electrolyzer!E14*1000</f>
        <v>30449.653547024573</v>
      </c>
      <c r="G36" s="67"/>
    </row>
    <row r="37" spans="1:9" x14ac:dyDescent="0.35">
      <c r="B37" t="s">
        <v>531</v>
      </c>
      <c r="C37" t="s">
        <v>104</v>
      </c>
      <c r="D37" t="s">
        <v>552</v>
      </c>
      <c r="F37" s="67">
        <f>Electrolyzer!L136*1000</f>
        <v>48007.776276954988</v>
      </c>
      <c r="G37" s="67"/>
    </row>
    <row r="38" spans="1:9" x14ac:dyDescent="0.35">
      <c r="B38" t="s">
        <v>556</v>
      </c>
      <c r="C38" t="s">
        <v>606</v>
      </c>
      <c r="D38" t="s">
        <v>607</v>
      </c>
      <c r="F38" s="67">
        <v>2151.7338399999999</v>
      </c>
      <c r="H38" s="67">
        <f>SUM(F36,F37,F39)</f>
        <v>88138.433804403656</v>
      </c>
    </row>
    <row r="39" spans="1:9" x14ac:dyDescent="0.35">
      <c r="B39" t="s">
        <v>575</v>
      </c>
      <c r="C39" t="s">
        <v>608</v>
      </c>
      <c r="D39" t="s">
        <v>552</v>
      </c>
      <c r="F39" s="67">
        <f>'KCl Elec'!C41</f>
        <v>9681.0039804241005</v>
      </c>
    </row>
    <row r="40" spans="1:9" x14ac:dyDescent="0.35">
      <c r="B40" t="s">
        <v>639</v>
      </c>
      <c r="C40" t="s">
        <v>641</v>
      </c>
      <c r="D40" t="s">
        <v>607</v>
      </c>
      <c r="F40" s="67">
        <v>645.57507599999997</v>
      </c>
    </row>
    <row r="41" spans="1:9" x14ac:dyDescent="0.35">
      <c r="B41" t="s">
        <v>639</v>
      </c>
      <c r="C41" t="s">
        <v>640</v>
      </c>
      <c r="D41" t="s">
        <v>607</v>
      </c>
      <c r="F41" s="67">
        <v>993.474828</v>
      </c>
      <c r="G41">
        <f>SUM(F36:F37,F39)/F43</f>
        <v>0.92524934942253378</v>
      </c>
    </row>
    <row r="42" spans="1:9" x14ac:dyDescent="0.35">
      <c r="B42" t="s">
        <v>531</v>
      </c>
      <c r="C42" t="s">
        <v>846</v>
      </c>
      <c r="D42" t="s">
        <v>455</v>
      </c>
      <c r="F42" s="67">
        <f>'Equipment list&amp;costing'!K7*0.7457</f>
        <v>3329.8970453137849</v>
      </c>
    </row>
    <row r="43" spans="1:9" x14ac:dyDescent="0.35">
      <c r="F43" s="75">
        <f>SUM(F36:F42)</f>
        <v>95259.114593717444</v>
      </c>
      <c r="G43" s="166">
        <f>F43-SUM(F40:F41,F38)</f>
        <v>91468.330849717444</v>
      </c>
    </row>
    <row r="44" spans="1:9" x14ac:dyDescent="0.35">
      <c r="C44" s="1" t="s">
        <v>598</v>
      </c>
      <c r="D44" s="1"/>
    </row>
    <row r="45" spans="1:9" x14ac:dyDescent="0.35">
      <c r="B45" s="1" t="s">
        <v>599</v>
      </c>
      <c r="C45" t="s">
        <v>594</v>
      </c>
      <c r="D45" t="s">
        <v>596</v>
      </c>
      <c r="E45" t="s">
        <v>597</v>
      </c>
      <c r="F45" t="s">
        <v>595</v>
      </c>
      <c r="G45" t="s">
        <v>638</v>
      </c>
      <c r="H45" t="s">
        <v>602</v>
      </c>
      <c r="I45" s="1" t="s">
        <v>198</v>
      </c>
    </row>
    <row r="46" spans="1:9" x14ac:dyDescent="0.35">
      <c r="B46" t="s">
        <v>600</v>
      </c>
      <c r="C46" s="46">
        <f>O17*'Base operation parameters'!C8*0.0036</f>
        <v>24194.107857543746</v>
      </c>
      <c r="D46" s="46">
        <v>0</v>
      </c>
      <c r="E46" s="46">
        <v>0</v>
      </c>
      <c r="F46" s="46">
        <f ca="1">ABS(SUM(O7,O8,O9,O20,O13,O19,O28)*'Base operation parameters'!C8*0.0036)</f>
        <v>1135258.8852107984</v>
      </c>
      <c r="G46" s="46">
        <f ca="1">ABS(SUM(O10,O21,O23)*'Base operation parameters'!C8*0.0036)</f>
        <v>76932.627972548624</v>
      </c>
      <c r="H46" s="46">
        <f>F43*'Base operation parameters'!C8</f>
        <v>762072916.74973953</v>
      </c>
      <c r="I46" s="46"/>
    </row>
    <row r="47" spans="1:9" x14ac:dyDescent="0.35">
      <c r="B47" t="s">
        <v>601</v>
      </c>
      <c r="C47" s="46">
        <f>C46*'Base operation parameters'!C33/1000000</f>
        <v>0.14516464714526248</v>
      </c>
      <c r="D47" s="46">
        <f>D46*'Base operation parameters'!C34</f>
        <v>0</v>
      </c>
      <c r="E47" s="46">
        <f>E46*'Base operation parameters'!C35/1000000</f>
        <v>0</v>
      </c>
      <c r="F47" s="46">
        <f ca="1">F46*'Base operation parameters'!C36/1000000</f>
        <v>1.7028883278161977</v>
      </c>
      <c r="G47" s="46">
        <f ca="1">G46*'Base operation parameters'!C37/1000000</f>
        <v>0.34619682587646877</v>
      </c>
      <c r="H47" s="46">
        <f>H46*'Base operation parameters'!C32/1000000</f>
        <v>38.103645837486972</v>
      </c>
      <c r="I47" s="46">
        <f ca="1">SUM(C47:H47)</f>
        <v>40.297895638324903</v>
      </c>
    </row>
    <row r="48" spans="1:9" x14ac:dyDescent="0.35">
      <c r="B48" s="1"/>
    </row>
    <row r="49" spans="3:8" x14ac:dyDescent="0.35">
      <c r="F49">
        <f ca="1">F46/(8000*3.6)</f>
        <v>39.418711292041607</v>
      </c>
      <c r="G49">
        <f ca="1">G46/(8000*3.6)</f>
        <v>2.6712718046023829</v>
      </c>
    </row>
    <row r="50" spans="3:8" x14ac:dyDescent="0.35">
      <c r="C50" s="46"/>
      <c r="D50" s="46"/>
      <c r="E50" s="46"/>
      <c r="F50" s="46"/>
      <c r="G50" s="46"/>
      <c r="H50" s="46"/>
    </row>
    <row r="51" spans="3:8" x14ac:dyDescent="0.35">
      <c r="F51">
        <f ca="1">SUM(F49:G49)</f>
        <v>42.089983096643991</v>
      </c>
    </row>
    <row r="52" spans="3:8" x14ac:dyDescent="0.35">
      <c r="F52">
        <f ca="1">-SUM(O7,O28)/1000/F51</f>
        <v>0.69270712107914056</v>
      </c>
    </row>
  </sheetData>
  <mergeCells count="10">
    <mergeCell ref="Q2:R2"/>
    <mergeCell ref="S2:T2"/>
    <mergeCell ref="G1:I1"/>
    <mergeCell ref="J1:L1"/>
    <mergeCell ref="F27:F28"/>
    <mergeCell ref="F9:F10"/>
    <mergeCell ref="F12:F13"/>
    <mergeCell ref="F16:F17"/>
    <mergeCell ref="F18:F19"/>
    <mergeCell ref="F20:F21"/>
  </mergeCells>
  <dataValidations count="2">
    <dataValidation type="list" errorStyle="warning" allowBlank="1" showInputMessage="1" showErrorMessage="1" sqref="D45:E45 C44:C45" xr:uid="{04E49A3E-F2F6-47B1-836D-BB53B5E67BC9}">
      <formula1>"CO2 electrolysis section, Liquid separation, Electrolyte recovery"</formula1>
    </dataValidation>
    <dataValidation type="list" errorStyle="warning" allowBlank="1" showInputMessage="1" showErrorMessage="1" sqref="B1:B1048576" xr:uid="{39E89C49-A7F4-4535-A108-7E982D62FD43}">
      <formula1>"CO2 electrolysis section, Liquid separation, Electrolyte recovery, Heat pump"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F331-F3F7-4684-BDAE-C390EF59869F}">
  <dimension ref="B1:AU90"/>
  <sheetViews>
    <sheetView topLeftCell="G7" zoomScale="40" zoomScaleNormal="40" workbookViewId="0"/>
  </sheetViews>
  <sheetFormatPr defaultRowHeight="14.5" x14ac:dyDescent="0.35"/>
  <cols>
    <col min="3" max="3" width="22.54296875" customWidth="1"/>
    <col min="4" max="4" width="20.54296875" customWidth="1"/>
    <col min="5" max="5" width="28.7265625" customWidth="1"/>
    <col min="6" max="9" width="28.453125" customWidth="1"/>
    <col min="10" max="10" width="19.81640625" customWidth="1"/>
    <col min="12" max="12" width="11.81640625" bestFit="1" customWidth="1"/>
    <col min="16" max="16" width="22.54296875" customWidth="1"/>
    <col min="19" max="19" width="26.1796875" customWidth="1"/>
    <col min="20" max="20" width="24.453125" customWidth="1"/>
    <col min="21" max="21" width="24.453125" bestFit="1" customWidth="1"/>
    <col min="22" max="22" width="21.54296875" customWidth="1"/>
    <col min="23" max="23" width="25.54296875" bestFit="1" customWidth="1"/>
    <col min="24" max="24" width="24" bestFit="1" customWidth="1"/>
    <col min="25" max="25" width="25" bestFit="1" customWidth="1"/>
    <col min="26" max="26" width="14.26953125" bestFit="1" customWidth="1"/>
    <col min="27" max="27" width="17" bestFit="1" customWidth="1"/>
    <col min="28" max="28" width="26.54296875" bestFit="1" customWidth="1"/>
    <col min="33" max="33" width="41.54296875" bestFit="1" customWidth="1"/>
    <col min="34" max="34" width="17.81640625" customWidth="1"/>
    <col min="35" max="35" width="11.26953125" customWidth="1"/>
    <col min="42" max="42" width="25.26953125" customWidth="1"/>
    <col min="43" max="43" width="17" bestFit="1" customWidth="1"/>
    <col min="46" max="46" width="20.81640625" customWidth="1"/>
  </cols>
  <sheetData>
    <row r="1" spans="3:47" x14ac:dyDescent="0.35">
      <c r="AE1" s="56"/>
      <c r="AF1" s="57" t="s">
        <v>384</v>
      </c>
    </row>
    <row r="2" spans="3:47" x14ac:dyDescent="0.35">
      <c r="AE2" s="56"/>
    </row>
    <row r="3" spans="3:47" x14ac:dyDescent="0.35">
      <c r="C3" s="182" t="s">
        <v>385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S3" s="182" t="s">
        <v>386</v>
      </c>
      <c r="T3" s="182"/>
      <c r="U3" s="182"/>
      <c r="V3" s="182"/>
      <c r="W3" s="182"/>
      <c r="X3" s="182"/>
      <c r="Y3" s="182"/>
      <c r="Z3" s="182"/>
      <c r="AA3" s="182"/>
      <c r="AB3" s="182"/>
      <c r="AE3" s="56"/>
      <c r="AG3" s="182" t="s">
        <v>387</v>
      </c>
      <c r="AH3" s="182"/>
      <c r="AI3" s="182"/>
      <c r="AJ3" s="182"/>
      <c r="AK3" s="182"/>
      <c r="AL3" s="182"/>
      <c r="AM3" s="182"/>
      <c r="AP3" s="182" t="s">
        <v>388</v>
      </c>
      <c r="AQ3" s="182"/>
      <c r="AT3" s="182" t="s">
        <v>389</v>
      </c>
      <c r="AU3" s="182"/>
    </row>
    <row r="4" spans="3:47" x14ac:dyDescent="0.35">
      <c r="D4" s="57" t="s">
        <v>390</v>
      </c>
      <c r="S4" s="57" t="s">
        <v>390</v>
      </c>
      <c r="AE4" s="56"/>
      <c r="AG4" s="57" t="s">
        <v>390</v>
      </c>
      <c r="AP4" s="57" t="s">
        <v>390</v>
      </c>
      <c r="AT4" s="57" t="s">
        <v>390</v>
      </c>
    </row>
    <row r="5" spans="3:47" x14ac:dyDescent="0.35">
      <c r="C5" s="58"/>
      <c r="D5" s="59" t="s">
        <v>391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S5" s="59" t="s">
        <v>391</v>
      </c>
      <c r="T5" s="58"/>
      <c r="U5" s="58"/>
      <c r="V5" s="58"/>
      <c r="W5" s="58"/>
      <c r="X5" s="58"/>
      <c r="Y5" s="58"/>
      <c r="Z5" s="58"/>
      <c r="AA5" s="58"/>
      <c r="AB5" s="58"/>
      <c r="AE5" s="56"/>
      <c r="AG5" s="57" t="s">
        <v>392</v>
      </c>
      <c r="AP5" s="57" t="s">
        <v>393</v>
      </c>
      <c r="AT5" s="57" t="s">
        <v>394</v>
      </c>
    </row>
    <row r="6" spans="3:47" x14ac:dyDescent="0.35">
      <c r="C6" s="1" t="s">
        <v>395</v>
      </c>
      <c r="D6" s="1" t="s">
        <v>10</v>
      </c>
      <c r="E6" s="1" t="s">
        <v>396</v>
      </c>
      <c r="F6" s="1" t="s">
        <v>700</v>
      </c>
      <c r="G6" s="1" t="s">
        <v>646</v>
      </c>
      <c r="H6" s="1" t="s">
        <v>543</v>
      </c>
      <c r="I6" s="1" t="s">
        <v>530</v>
      </c>
      <c r="J6" s="1" t="s">
        <v>398</v>
      </c>
      <c r="K6" s="1" t="s">
        <v>399</v>
      </c>
      <c r="L6" s="1" t="s">
        <v>400</v>
      </c>
      <c r="M6" s="1" t="s">
        <v>401</v>
      </c>
      <c r="N6" s="1" t="s">
        <v>402</v>
      </c>
      <c r="O6" s="1" t="s">
        <v>403</v>
      </c>
      <c r="P6" s="1" t="s">
        <v>404</v>
      </c>
      <c r="S6" s="1" t="s">
        <v>10</v>
      </c>
      <c r="T6" s="1" t="s">
        <v>396</v>
      </c>
      <c r="U6" s="1" t="s">
        <v>405</v>
      </c>
      <c r="V6" s="1" t="s">
        <v>406</v>
      </c>
      <c r="W6" s="1" t="s">
        <v>407</v>
      </c>
      <c r="X6" s="1" t="s">
        <v>408</v>
      </c>
      <c r="Y6" s="1" t="s">
        <v>409</v>
      </c>
      <c r="Z6" s="1" t="s">
        <v>410</v>
      </c>
      <c r="AA6" s="1" t="s">
        <v>411</v>
      </c>
      <c r="AB6" s="1" t="s">
        <v>412</v>
      </c>
      <c r="AC6" s="1"/>
      <c r="AE6" s="56"/>
      <c r="AG6" s="57" t="s">
        <v>391</v>
      </c>
      <c r="AT6" s="57" t="s">
        <v>413</v>
      </c>
    </row>
    <row r="7" spans="3:47" ht="145.5" thickBot="1" x14ac:dyDescent="0.4">
      <c r="C7" s="60" t="s">
        <v>644</v>
      </c>
      <c r="D7" s="14" t="s">
        <v>846</v>
      </c>
      <c r="E7" s="14" t="s">
        <v>860</v>
      </c>
      <c r="F7" s="78" t="s">
        <v>847</v>
      </c>
      <c r="G7" s="57"/>
      <c r="H7" s="57" t="s">
        <v>849</v>
      </c>
      <c r="I7" s="79">
        <v>73716.197130296903</v>
      </c>
      <c r="J7" s="35" t="s">
        <v>848</v>
      </c>
      <c r="K7" s="17">
        <f>0.00436*1.4/(1.4-1)*I7*14.5/0.8*(2^((1.4-1)/1.4)-1)</f>
        <v>4465.4647248408</v>
      </c>
      <c r="L7" t="str">
        <f t="shared" ref="L7" si="0">_xlfn.IFNA(AND(K7&gt;=_xlfn.XLOOKUP(E7,$AG$8:$AG$82,$AI$8:$AI$82),K7&lt;=_xlfn.XLOOKUP(E7,$AG$8:$AG$82,$AJ$8:$AJ$82)),"")</f>
        <v/>
      </c>
      <c r="M7" s="35" t="str">
        <f t="shared" ref="M7" si="1">_xlfn.IFNA(_xlfn.XLOOKUP(E7,$AG$8:$AG$82,$AK$8:$AK$82),"")</f>
        <v/>
      </c>
      <c r="N7" s="35" t="str">
        <f t="shared" ref="N7" si="2">_xlfn.IFNA(_xlfn.XLOOKUP(E7,$AG$8:$AG$82,$AL$8:$AL$82),"")</f>
        <v/>
      </c>
      <c r="O7" s="35" t="str">
        <f t="shared" ref="O7" si="3">_xlfn.IFNA(_xlfn.XLOOKUP(E7,$AG$8:$AG$82,$AM$8:$AM$82),"")</f>
        <v/>
      </c>
      <c r="P7" s="62">
        <f>0.6*(EXP(7.0187+0.79*LN(K7/5)))*'Base operation parameters'!C16/'Base operation parameters'!C17</f>
        <v>134989.09310306597</v>
      </c>
      <c r="S7" s="61" t="str">
        <f t="shared" ref="S7:S38" si="4">IF(ISBLANK(D7),"",D7)</f>
        <v>SOEC-BLW</v>
      </c>
      <c r="T7" s="61" t="str">
        <f t="shared" ref="T7:T38" si="5">IF(ISBLANK(E7),"",E7)</f>
        <v>Centrifugal Blower [Seider2016]</v>
      </c>
      <c r="U7" s="14" t="s">
        <v>424</v>
      </c>
      <c r="V7" s="14" t="s">
        <v>416</v>
      </c>
      <c r="W7" s="14">
        <v>5</v>
      </c>
      <c r="X7" s="14">
        <v>5</v>
      </c>
      <c r="Y7" s="62">
        <f>W7*P7</f>
        <v>674945.46551532985</v>
      </c>
      <c r="Z7" s="35">
        <f t="shared" ref="Z7" si="6">_xlfn.IFNA(_xlfn.XLOOKUP(V7,$AT$8:$AT$18,$AU$8:$AU$18),"")</f>
        <v>1</v>
      </c>
      <c r="AA7" s="35">
        <f>_xlfn.IFNA(_xlfn.XLOOKUP(U7,$AP$8:$AP$16,$AQ$8:$AQ$16),"")</f>
        <v>2.5</v>
      </c>
      <c r="AB7" s="62">
        <f t="shared" ref="AB7:AB49" si="7">IFERROR(X7*Z7*P7*AA7,"")</f>
        <v>1687363.6637883247</v>
      </c>
      <c r="AE7" s="56"/>
      <c r="AG7" s="63" t="s">
        <v>417</v>
      </c>
      <c r="AH7" s="63" t="s">
        <v>418</v>
      </c>
      <c r="AI7" s="63" t="s">
        <v>419</v>
      </c>
      <c r="AJ7" s="63" t="s">
        <v>420</v>
      </c>
      <c r="AK7" s="63" t="s">
        <v>401</v>
      </c>
      <c r="AL7" s="63" t="s">
        <v>402</v>
      </c>
      <c r="AM7" s="63" t="s">
        <v>403</v>
      </c>
      <c r="AP7" s="63" t="s">
        <v>421</v>
      </c>
      <c r="AQ7" s="63" t="s">
        <v>411</v>
      </c>
      <c r="AT7" s="63" t="s">
        <v>406</v>
      </c>
      <c r="AU7" s="63" t="s">
        <v>422</v>
      </c>
    </row>
    <row r="8" spans="3:47" ht="15.5" thickTop="1" thickBot="1" x14ac:dyDescent="0.4">
      <c r="C8" s="60" t="s">
        <v>644</v>
      </c>
      <c r="D8" s="14" t="s">
        <v>542</v>
      </c>
      <c r="E8" s="14" t="s">
        <v>484</v>
      </c>
      <c r="F8" s="57">
        <f>(('Energy Integration'!G3-'Energy Integration'!K3)-('Energy Integration'!H3-'Energy Integration'!J3))/LN(('Energy Integration'!G3-'Energy Integration'!K3)/('Energy Integration'!H3-'Energy Integration'!J3))</f>
        <v>15.99142195711619</v>
      </c>
      <c r="G8" s="57">
        <v>100</v>
      </c>
      <c r="H8" s="57" t="s">
        <v>645</v>
      </c>
      <c r="I8" s="79">
        <f>ABS('Energy Integration'!M3)</f>
        <v>19186.623299999999</v>
      </c>
      <c r="J8" s="35" t="str">
        <f>_xlfn.IFNA(_xlfn.XLOOKUP(E8,$AG$8:$AG$82,$AH$8:$AH$82),"")</f>
        <v>area, m2</v>
      </c>
      <c r="K8" s="17">
        <f>I8*1000/(G8*F8)/12</f>
        <v>999.839338420118</v>
      </c>
      <c r="L8" t="b">
        <f t="shared" ref="L8:L39" si="8">_xlfn.IFNA(AND(K8&gt;=_xlfn.XLOOKUP(E8,$AG$8:$AG$82,$AI$8:$AI$82),K8&lt;=_xlfn.XLOOKUP(E8,$AG$8:$AG$82,$AJ$8:$AJ$82)),"")</f>
        <v>1</v>
      </c>
      <c r="M8" s="35">
        <f t="shared" ref="M8:M39" si="9">_xlfn.IFNA(_xlfn.XLOOKUP(E8,$AG$8:$AG$82,$AK$8:$AK$82),"")</f>
        <v>32000</v>
      </c>
      <c r="N8" s="35">
        <f t="shared" ref="N8:N39" si="10">_xlfn.IFNA(_xlfn.XLOOKUP(E8,$AG$8:$AG$82,$AL$8:$AL$82),"")</f>
        <v>70</v>
      </c>
      <c r="O8" s="35">
        <f t="shared" ref="O8:O39" si="11">_xlfn.IFNA(_xlfn.XLOOKUP(E8,$AG$8:$AG$82,$AM$8:$AM$82),"")</f>
        <v>1.2</v>
      </c>
      <c r="P8" s="62">
        <f>IFERROR(M8+N8*(K8)^O8,"")</f>
        <v>310621.29340800282</v>
      </c>
      <c r="S8" s="61" t="str">
        <f t="shared" si="4"/>
        <v>SOEC-HX1</v>
      </c>
      <c r="T8" s="61" t="str">
        <f t="shared" si="5"/>
        <v>Floating head shell and tube</v>
      </c>
      <c r="U8" s="14" t="s">
        <v>433</v>
      </c>
      <c r="V8" s="14" t="s">
        <v>454</v>
      </c>
      <c r="W8" s="14">
        <v>12</v>
      </c>
      <c r="X8" s="14">
        <v>12</v>
      </c>
      <c r="Y8" s="62" cm="1">
        <f t="array" ref="Y8">IFERROR(_xlfn.XLOOKUP(S8 &amp; T8, $D$8:$D$77 &amp; $E$8:$E$77, $P$8:$P$77*W8),"")</f>
        <v>3727455.5208960338</v>
      </c>
      <c r="Z8" s="35">
        <f t="shared" ref="Z8:Z39" si="12">_xlfn.IFNA(_xlfn.XLOOKUP(V8,$AT$8:$AT$18,$AU$8:$AU$18),"")</f>
        <v>1.7</v>
      </c>
      <c r="AA8" s="35">
        <f>_xlfn.IFNA(_xlfn.XLOOKUP(U8,$AP$8:$AP$16,$AQ$8:$AQ$16),"")</f>
        <v>3.5</v>
      </c>
      <c r="AB8" s="62">
        <f t="shared" si="7"/>
        <v>22178360.349331398</v>
      </c>
      <c r="AE8" s="56"/>
      <c r="AG8" s="64" t="s">
        <v>423</v>
      </c>
      <c r="AH8" s="65"/>
      <c r="AI8" s="65"/>
      <c r="AJ8" s="65"/>
      <c r="AK8" s="65"/>
      <c r="AL8" s="65"/>
      <c r="AM8" s="65"/>
      <c r="AP8" t="s">
        <v>424</v>
      </c>
      <c r="AQ8" s="14">
        <v>2.5</v>
      </c>
      <c r="AT8" t="s">
        <v>416</v>
      </c>
      <c r="AU8" s="14">
        <v>1</v>
      </c>
    </row>
    <row r="9" spans="3:47" ht="15.5" thickTop="1" thickBot="1" x14ac:dyDescent="0.4">
      <c r="C9" s="60" t="s">
        <v>644</v>
      </c>
      <c r="D9" s="14" t="s">
        <v>559</v>
      </c>
      <c r="E9" s="14" t="s">
        <v>484</v>
      </c>
      <c r="F9" s="57">
        <f>(('Energy Integration'!G4-'Energy Integration'!K4)-('Energy Integration'!H4-'Energy Integration'!J4))/LN(('Energy Integration'!G4-'Energy Integration'!K4)/('Energy Integration'!H4-'Energy Integration'!J4))</f>
        <v>40.467528174758343</v>
      </c>
      <c r="G9" s="57">
        <v>100</v>
      </c>
      <c r="H9" s="57" t="s">
        <v>645</v>
      </c>
      <c r="I9" s="79">
        <f>ABS('Energy Integration'!M4)</f>
        <v>3751.8517700000002</v>
      </c>
      <c r="J9" s="35" t="str">
        <f>_xlfn.IFNA(_xlfn.XLOOKUP(E9,$AG$8:$AG$82,$AH$8:$AH$82),"")</f>
        <v>area, m2</v>
      </c>
      <c r="K9" s="17">
        <f>I9*1000/(G9*F9)</f>
        <v>927.12649850954347</v>
      </c>
      <c r="L9" t="b">
        <f t="shared" si="8"/>
        <v>1</v>
      </c>
      <c r="M9" s="35">
        <f t="shared" si="9"/>
        <v>32000</v>
      </c>
      <c r="N9" s="35">
        <f t="shared" si="10"/>
        <v>70</v>
      </c>
      <c r="O9" s="35">
        <f t="shared" si="11"/>
        <v>1.2</v>
      </c>
      <c r="P9" s="62">
        <f t="shared" ref="P9:P42" si="13">IFERROR(M9+N9*(K9)^O9,"")</f>
        <v>286486.54919055838</v>
      </c>
      <c r="S9" s="61" t="str">
        <f t="shared" si="4"/>
        <v>SOEC-HX2</v>
      </c>
      <c r="T9" s="61" t="str">
        <f t="shared" si="5"/>
        <v>Floating head shell and tube</v>
      </c>
      <c r="U9" s="14" t="s">
        <v>433</v>
      </c>
      <c r="V9" s="14" t="s">
        <v>454</v>
      </c>
      <c r="W9" s="14">
        <v>1</v>
      </c>
      <c r="X9" s="14">
        <v>1</v>
      </c>
      <c r="Y9" s="62" cm="1">
        <f t="array" ref="Y9">IFERROR(_xlfn.XLOOKUP(S9 &amp; T9, $D$8:$D$77 &amp; $E$8:$E$77, $P$8:$P$77*W9),"")</f>
        <v>286486.54919055838</v>
      </c>
      <c r="Z9" s="35">
        <f t="shared" si="12"/>
        <v>1.7</v>
      </c>
      <c r="AA9" s="35">
        <f t="shared" ref="AA9:AA74" si="14">_xlfn.IFNA(_xlfn.XLOOKUP(U9,$AP$8:$AP$16,$AQ$8:$AQ$16),"")</f>
        <v>3.5</v>
      </c>
      <c r="AB9" s="62">
        <f t="shared" si="7"/>
        <v>1704594.9676838224</v>
      </c>
      <c r="AE9" s="56"/>
      <c r="AG9" t="s">
        <v>425</v>
      </c>
      <c r="AH9" t="s">
        <v>426</v>
      </c>
      <c r="AI9" s="14">
        <v>5</v>
      </c>
      <c r="AJ9" s="14">
        <v>75</v>
      </c>
      <c r="AK9" s="14">
        <v>17000</v>
      </c>
      <c r="AL9" s="14">
        <v>1130</v>
      </c>
      <c r="AM9" s="14">
        <v>1.05</v>
      </c>
      <c r="AP9" t="s">
        <v>415</v>
      </c>
      <c r="AQ9" s="14">
        <v>4</v>
      </c>
      <c r="AT9" t="s">
        <v>427</v>
      </c>
      <c r="AU9" s="14">
        <v>1.07</v>
      </c>
    </row>
    <row r="10" spans="3:47" ht="15.5" thickTop="1" thickBot="1" x14ac:dyDescent="0.4">
      <c r="C10" s="60" t="s">
        <v>644</v>
      </c>
      <c r="D10" s="14" t="s">
        <v>548</v>
      </c>
      <c r="E10" s="14" t="s">
        <v>483</v>
      </c>
      <c r="F10" s="57">
        <f>(('Energy Integration'!G5-'Energy Integration'!K5)-('Energy Integration'!H5-'Energy Integration'!J5))/LN(('Energy Integration'!G5-'Energy Integration'!K5)/('Energy Integration'!H5-'Energy Integration'!J5))</f>
        <v>459.42001062325375</v>
      </c>
      <c r="G10" s="57">
        <v>250</v>
      </c>
      <c r="H10" s="57" t="s">
        <v>645</v>
      </c>
      <c r="I10" s="79">
        <f>ABS('Energy Integration'!M5)</f>
        <v>6606.9614000000001</v>
      </c>
      <c r="J10" s="35" t="str">
        <f>_xlfn.IFNA(_xlfn.XLOOKUP(E10,$AG$8:$AG$82,$AH$8:$AH$82),"")</f>
        <v>area, m2</v>
      </c>
      <c r="K10" s="17">
        <f t="shared" ref="K10:K11" si="15">I10*1000/(G10*F10)</f>
        <v>57.524367656836979</v>
      </c>
      <c r="L10" t="b">
        <f t="shared" si="8"/>
        <v>1</v>
      </c>
      <c r="M10" s="35">
        <f t="shared" si="9"/>
        <v>28000</v>
      </c>
      <c r="N10" s="35">
        <f t="shared" si="10"/>
        <v>54</v>
      </c>
      <c r="O10" s="35">
        <f t="shared" si="11"/>
        <v>1.2</v>
      </c>
      <c r="P10" s="62">
        <f t="shared" si="13"/>
        <v>34985.797361706922</v>
      </c>
      <c r="S10" s="61" t="str">
        <f t="shared" si="4"/>
        <v>SOEC-HX3</v>
      </c>
      <c r="T10" s="61" t="str">
        <f t="shared" si="5"/>
        <v>U-tube shell and tube</v>
      </c>
      <c r="U10" s="14" t="s">
        <v>433</v>
      </c>
      <c r="V10" s="14" t="s">
        <v>454</v>
      </c>
      <c r="W10" s="14">
        <v>1</v>
      </c>
      <c r="X10" s="14">
        <v>1</v>
      </c>
      <c r="Y10" s="62" cm="1">
        <f t="array" ref="Y10">IFERROR(_xlfn.XLOOKUP(S10 &amp; T10, $D$8:$D$77 &amp; $E$8:$E$77, $P$8:$P$77*W10),"")</f>
        <v>34985.797361706922</v>
      </c>
      <c r="Z10" s="35">
        <f t="shared" si="12"/>
        <v>1.7</v>
      </c>
      <c r="AA10" s="35">
        <f t="shared" si="14"/>
        <v>3.5</v>
      </c>
      <c r="AB10" s="62">
        <f t="shared" si="7"/>
        <v>208165.49430215618</v>
      </c>
      <c r="AE10" s="56"/>
      <c r="AG10" t="s">
        <v>428</v>
      </c>
      <c r="AH10" t="s">
        <v>426</v>
      </c>
      <c r="AI10" s="14">
        <v>5</v>
      </c>
      <c r="AJ10" s="14">
        <v>35</v>
      </c>
      <c r="AK10" s="14">
        <v>30800</v>
      </c>
      <c r="AL10" s="14">
        <v>125</v>
      </c>
      <c r="AM10" s="14">
        <v>2</v>
      </c>
      <c r="AP10" t="s">
        <v>429</v>
      </c>
      <c r="AQ10" s="14">
        <v>2</v>
      </c>
      <c r="AT10" t="s">
        <v>430</v>
      </c>
      <c r="AU10" s="14">
        <v>1.07</v>
      </c>
    </row>
    <row r="11" spans="3:47" ht="15.5" thickTop="1" thickBot="1" x14ac:dyDescent="0.4">
      <c r="C11" s="60" t="s">
        <v>644</v>
      </c>
      <c r="D11" s="14" t="s">
        <v>550</v>
      </c>
      <c r="E11" s="14" t="s">
        <v>488</v>
      </c>
      <c r="F11" s="57">
        <f>(('Energy Integration'!G6-'Energy Integration'!K6)-('Energy Integration'!H6-'Energy Integration'!J6))/LN(('Energy Integration'!G6-'Energy Integration'!K6)/('Energy Integration'!H6-'Energy Integration'!J6))</f>
        <v>503.84774932046884</v>
      </c>
      <c r="G11" s="57">
        <v>250</v>
      </c>
      <c r="H11" s="57" t="s">
        <v>645</v>
      </c>
      <c r="I11" s="79">
        <f>ABS('Energy Integration'!M6)</f>
        <v>321.35987399999999</v>
      </c>
      <c r="J11" s="35" t="str">
        <f>_xlfn.IFNA(_xlfn.XLOOKUP(E11,$AG$8:$AG$82,$AH$8:$AH$82),"")</f>
        <v>area, m2</v>
      </c>
      <c r="K11" s="17">
        <f t="shared" si="15"/>
        <v>2.5512458827763966</v>
      </c>
      <c r="L11" t="b">
        <f t="shared" si="8"/>
        <v>1</v>
      </c>
      <c r="M11" s="35">
        <f t="shared" si="9"/>
        <v>1600</v>
      </c>
      <c r="N11" s="35">
        <f t="shared" si="10"/>
        <v>210</v>
      </c>
      <c r="O11" s="35">
        <f t="shared" si="11"/>
        <v>0.95</v>
      </c>
      <c r="P11" s="62">
        <f t="shared" si="13"/>
        <v>2111.2507942929078</v>
      </c>
      <c r="S11" s="61" t="str">
        <f t="shared" si="4"/>
        <v>SOEC-HX4</v>
      </c>
      <c r="T11" s="61" t="str">
        <f t="shared" si="5"/>
        <v>Plate and frame</v>
      </c>
      <c r="U11" s="14" t="s">
        <v>433</v>
      </c>
      <c r="V11" s="14" t="s">
        <v>454</v>
      </c>
      <c r="W11" s="14">
        <v>1</v>
      </c>
      <c r="X11" s="14">
        <v>1</v>
      </c>
      <c r="Y11" s="62" cm="1">
        <f t="array" ref="Y11">IFERROR(_xlfn.XLOOKUP(S11 &amp; T11, $D$8:$D$77 &amp; $E$8:$E$77, $P$8:$P$77*W11),"")</f>
        <v>2111.2507942929078</v>
      </c>
      <c r="Z11" s="35">
        <f t="shared" si="12"/>
        <v>1.7</v>
      </c>
      <c r="AA11" s="35">
        <f t="shared" si="14"/>
        <v>3.5</v>
      </c>
      <c r="AB11" s="62">
        <f t="shared" si="7"/>
        <v>12561.942226042802</v>
      </c>
      <c r="AE11" s="56"/>
      <c r="AG11" t="s">
        <v>431</v>
      </c>
      <c r="AH11" t="s">
        <v>432</v>
      </c>
      <c r="AI11" s="14">
        <v>1</v>
      </c>
      <c r="AJ11" s="14">
        <v>50</v>
      </c>
      <c r="AK11" s="14">
        <v>570</v>
      </c>
      <c r="AL11" s="14">
        <v>1170</v>
      </c>
      <c r="AM11" s="14">
        <v>0.4</v>
      </c>
      <c r="AP11" t="s">
        <v>433</v>
      </c>
      <c r="AQ11" s="14">
        <v>3.5</v>
      </c>
      <c r="AT11" t="s">
        <v>434</v>
      </c>
      <c r="AU11" s="14">
        <v>1.1000000000000001</v>
      </c>
    </row>
    <row r="12" spans="3:47" ht="15.5" thickTop="1" thickBot="1" x14ac:dyDescent="0.4">
      <c r="C12" s="60" t="s">
        <v>644</v>
      </c>
      <c r="D12" s="14" t="s">
        <v>38</v>
      </c>
      <c r="E12" s="14" t="s">
        <v>552</v>
      </c>
      <c r="F12" s="57"/>
      <c r="G12" s="57"/>
      <c r="H12" s="57"/>
      <c r="I12" s="79"/>
      <c r="J12" s="35" t="s">
        <v>476</v>
      </c>
      <c r="K12" s="17">
        <f>Electrolyzer!E16</f>
        <v>507.49422578374288</v>
      </c>
      <c r="L12" t="str">
        <f t="shared" si="8"/>
        <v/>
      </c>
      <c r="M12" s="35" t="str">
        <f t="shared" si="9"/>
        <v/>
      </c>
      <c r="N12" s="35" t="str">
        <f t="shared" si="10"/>
        <v/>
      </c>
      <c r="O12" s="35" t="str">
        <f t="shared" si="11"/>
        <v/>
      </c>
      <c r="P12" s="62">
        <f>Electrolyzer!E17</f>
        <v>28482260.019822493</v>
      </c>
      <c r="S12" s="61" t="str">
        <f t="shared" si="4"/>
        <v>SOEC</v>
      </c>
      <c r="T12" s="61" t="str">
        <f t="shared" si="5"/>
        <v>Electrolyzer</v>
      </c>
      <c r="U12" s="14" t="s">
        <v>440</v>
      </c>
      <c r="V12" s="14" t="s">
        <v>454</v>
      </c>
      <c r="W12" s="14">
        <v>1</v>
      </c>
      <c r="X12" s="14">
        <v>1</v>
      </c>
      <c r="Y12" s="62" cm="1">
        <f t="array" ref="Y12">IFERROR(_xlfn.XLOOKUP(S12 &amp; T12, $D$8:$D$77 &amp; $E$8:$E$77, $P$8:$P$77*W12),"")</f>
        <v>28482260.019822493</v>
      </c>
      <c r="Z12" s="35">
        <f t="shared" si="12"/>
        <v>1.7</v>
      </c>
      <c r="AA12" s="35">
        <f t="shared" si="14"/>
        <v>2.5</v>
      </c>
      <c r="AB12" s="62">
        <f t="shared" si="7"/>
        <v>121049605.08424559</v>
      </c>
      <c r="AE12" s="56"/>
      <c r="AG12" s="64" t="s">
        <v>435</v>
      </c>
      <c r="AH12" s="64"/>
      <c r="AI12" s="64"/>
      <c r="AJ12" s="64"/>
      <c r="AK12" s="64"/>
      <c r="AL12" s="64"/>
      <c r="AM12" s="64"/>
      <c r="AP12" t="s">
        <v>436</v>
      </c>
      <c r="AQ12" s="14">
        <v>4</v>
      </c>
      <c r="AT12" t="s">
        <v>437</v>
      </c>
      <c r="AU12" s="14">
        <v>1.3</v>
      </c>
    </row>
    <row r="13" spans="3:47" ht="15.5" thickTop="1" thickBot="1" x14ac:dyDescent="0.4">
      <c r="C13" s="60" t="s">
        <v>644</v>
      </c>
      <c r="D13" s="14" t="s">
        <v>104</v>
      </c>
      <c r="E13" s="14" t="s">
        <v>552</v>
      </c>
      <c r="F13" s="57"/>
      <c r="G13" s="57"/>
      <c r="H13" s="57"/>
      <c r="I13" s="79"/>
      <c r="J13" s="35" t="s">
        <v>476</v>
      </c>
      <c r="K13" s="17">
        <f>Electrolyzer!L135</f>
        <v>10960.679515286527</v>
      </c>
      <c r="L13" t="str">
        <f t="shared" si="8"/>
        <v/>
      </c>
      <c r="M13" s="35" t="str">
        <f t="shared" si="9"/>
        <v/>
      </c>
      <c r="N13" s="35" t="str">
        <f t="shared" si="10"/>
        <v/>
      </c>
      <c r="O13" s="35" t="str">
        <f t="shared" si="11"/>
        <v/>
      </c>
      <c r="P13" s="62">
        <f>Electrolyzer!L144</f>
        <v>16441019.272929791</v>
      </c>
      <c r="S13" s="61" t="str">
        <f t="shared" si="4"/>
        <v>MEA</v>
      </c>
      <c r="T13" s="61" t="str">
        <f t="shared" si="5"/>
        <v>Electrolyzer</v>
      </c>
      <c r="U13" s="14" t="s">
        <v>440</v>
      </c>
      <c r="V13" s="14" t="s">
        <v>437</v>
      </c>
      <c r="W13" s="14">
        <v>1</v>
      </c>
      <c r="X13" s="14">
        <v>1</v>
      </c>
      <c r="Y13" s="62" cm="1">
        <f t="array" ref="Y13">IFERROR(_xlfn.XLOOKUP(S13 &amp; T13, $D$8:$D$77 &amp; $E$8:$E$77, $P$8:$P$77*W13),"")</f>
        <v>16441019.272929791</v>
      </c>
      <c r="Z13" s="35">
        <f t="shared" si="12"/>
        <v>1.3</v>
      </c>
      <c r="AA13" s="35">
        <f t="shared" si="14"/>
        <v>2.5</v>
      </c>
      <c r="AB13" s="62">
        <f t="shared" si="7"/>
        <v>53433312.637021825</v>
      </c>
      <c r="AE13" s="56"/>
      <c r="AG13" t="s">
        <v>438</v>
      </c>
      <c r="AH13" t="s">
        <v>439</v>
      </c>
      <c r="AI13" s="14">
        <v>5000</v>
      </c>
      <c r="AJ13" s="14">
        <v>200000</v>
      </c>
      <c r="AK13" s="14">
        <v>124000</v>
      </c>
      <c r="AL13" s="14">
        <v>10</v>
      </c>
      <c r="AM13" s="14">
        <v>1</v>
      </c>
      <c r="AP13" t="s">
        <v>440</v>
      </c>
      <c r="AQ13" s="14">
        <v>2.5</v>
      </c>
      <c r="AT13" t="s">
        <v>441</v>
      </c>
      <c r="AU13" s="14">
        <v>1.3</v>
      </c>
    </row>
    <row r="14" spans="3:47" ht="44.5" thickTop="1" thickBot="1" x14ac:dyDescent="0.4">
      <c r="C14" s="60" t="s">
        <v>644</v>
      </c>
      <c r="D14" s="14" t="s">
        <v>647</v>
      </c>
      <c r="E14" s="14" t="s">
        <v>517</v>
      </c>
      <c r="F14" s="78" t="s">
        <v>650</v>
      </c>
      <c r="H14" s="57" t="s">
        <v>648</v>
      </c>
      <c r="I14" s="79">
        <v>48.86</v>
      </c>
      <c r="J14" s="35" t="str">
        <f t="shared" ref="J14:J38" si="16">_xlfn.IFNA(_xlfn.XLOOKUP(E14,$AG$8:$AG$82,$AH$8:$AH$82),"")</f>
        <v>capacity, m3</v>
      </c>
      <c r="K14" s="17">
        <f>I14*24*3</f>
        <v>3517.9199999999996</v>
      </c>
      <c r="L14" t="b">
        <f t="shared" si="8"/>
        <v>1</v>
      </c>
      <c r="M14" s="35">
        <f t="shared" si="9"/>
        <v>113000</v>
      </c>
      <c r="N14" s="35">
        <f t="shared" si="10"/>
        <v>3250</v>
      </c>
      <c r="O14" s="35">
        <f t="shared" si="11"/>
        <v>0.65</v>
      </c>
      <c r="P14" s="62">
        <f t="shared" si="13"/>
        <v>769098.78630829649</v>
      </c>
      <c r="S14" s="61" t="str">
        <f t="shared" si="4"/>
        <v>Anodic liquid buffer tank</v>
      </c>
      <c r="T14" s="61" t="str">
        <f t="shared" si="5"/>
        <v>Floating roof</v>
      </c>
      <c r="U14" s="14" t="s">
        <v>440</v>
      </c>
      <c r="V14" s="14" t="s">
        <v>437</v>
      </c>
      <c r="W14" s="14">
        <v>1</v>
      </c>
      <c r="X14" s="14">
        <v>1</v>
      </c>
      <c r="Y14" s="62" cm="1">
        <f t="array" ref="Y14">IFERROR(_xlfn.XLOOKUP(S14 &amp; T14, $D$8:$D$77 &amp; $E$8:$E$77, $P$8:$P$77*W14),"")</f>
        <v>769098.78630829649</v>
      </c>
      <c r="Z14" s="35">
        <f t="shared" si="12"/>
        <v>1.3</v>
      </c>
      <c r="AA14" s="35">
        <f t="shared" si="14"/>
        <v>2.5</v>
      </c>
      <c r="AB14" s="62">
        <f t="shared" si="7"/>
        <v>2499571.0555019639</v>
      </c>
      <c r="AE14" s="56"/>
      <c r="AG14" t="s">
        <v>442</v>
      </c>
      <c r="AH14" t="s">
        <v>439</v>
      </c>
      <c r="AI14" s="14">
        <v>20000</v>
      </c>
      <c r="AJ14" s="14">
        <v>800000</v>
      </c>
      <c r="AK14" s="14">
        <v>130000</v>
      </c>
      <c r="AL14" s="14">
        <v>53</v>
      </c>
      <c r="AM14" s="14">
        <v>0.9</v>
      </c>
      <c r="AP14" t="s">
        <v>443</v>
      </c>
      <c r="AQ14" s="14">
        <v>4</v>
      </c>
      <c r="AT14" t="s">
        <v>444</v>
      </c>
      <c r="AU14" s="14">
        <v>1.5</v>
      </c>
    </row>
    <row r="15" spans="3:47" ht="44.5" thickTop="1" thickBot="1" x14ac:dyDescent="0.4">
      <c r="C15" s="60" t="s">
        <v>644</v>
      </c>
      <c r="D15" s="14" t="s">
        <v>649</v>
      </c>
      <c r="E15" s="14" t="s">
        <v>517</v>
      </c>
      <c r="F15" s="78" t="s">
        <v>650</v>
      </c>
      <c r="G15" s="57"/>
      <c r="H15" s="57" t="s">
        <v>648</v>
      </c>
      <c r="I15" s="79">
        <v>18.7659912691758</v>
      </c>
      <c r="J15" s="35" t="str">
        <f t="shared" si="16"/>
        <v>capacity, m3</v>
      </c>
      <c r="K15" s="17">
        <f>I15*24*3</f>
        <v>1351.1513713806576</v>
      </c>
      <c r="L15" t="b">
        <f t="shared" si="8"/>
        <v>1</v>
      </c>
      <c r="M15" s="35">
        <f t="shared" si="9"/>
        <v>113000</v>
      </c>
      <c r="N15" s="35">
        <f t="shared" si="10"/>
        <v>3250</v>
      </c>
      <c r="O15" s="35">
        <f t="shared" si="11"/>
        <v>0.65</v>
      </c>
      <c r="P15" s="62">
        <f t="shared" si="13"/>
        <v>465241.85950033559</v>
      </c>
      <c r="S15" s="61" t="str">
        <f t="shared" si="4"/>
        <v>KOH buffer tank</v>
      </c>
      <c r="T15" s="61" t="str">
        <f t="shared" si="5"/>
        <v>Floating roof</v>
      </c>
      <c r="U15" s="14" t="s">
        <v>440</v>
      </c>
      <c r="V15" s="14" t="s">
        <v>454</v>
      </c>
      <c r="W15" s="14">
        <v>1</v>
      </c>
      <c r="X15" s="14">
        <v>1</v>
      </c>
      <c r="Y15" s="62" cm="1">
        <f t="array" ref="Y15">IFERROR(_xlfn.XLOOKUP(S15 &amp; T15, $D$8:$D$77 &amp; $E$8:$E$77, $P$8:$P$77*W15),"")</f>
        <v>465241.85950033559</v>
      </c>
      <c r="Z15" s="35">
        <f t="shared" si="12"/>
        <v>1.7</v>
      </c>
      <c r="AA15" s="35">
        <f t="shared" si="14"/>
        <v>2.5</v>
      </c>
      <c r="AB15" s="62">
        <f t="shared" si="7"/>
        <v>1977277.9028764262</v>
      </c>
      <c r="AE15" s="56"/>
      <c r="AG15" s="64" t="s">
        <v>445</v>
      </c>
      <c r="AH15" s="64"/>
      <c r="AI15" s="64"/>
      <c r="AJ15" s="64"/>
      <c r="AK15" s="64"/>
      <c r="AL15" s="64"/>
      <c r="AM15" s="64"/>
      <c r="AP15" t="s">
        <v>446</v>
      </c>
      <c r="AQ15" s="14">
        <v>4</v>
      </c>
      <c r="AT15" t="s">
        <v>447</v>
      </c>
      <c r="AU15" s="14">
        <v>1.55</v>
      </c>
    </row>
    <row r="16" spans="3:47" ht="15.5" thickTop="1" thickBot="1" x14ac:dyDescent="0.4">
      <c r="C16" s="60" t="s">
        <v>556</v>
      </c>
      <c r="D16" s="14" t="s">
        <v>651</v>
      </c>
      <c r="E16" s="14" t="s">
        <v>513</v>
      </c>
      <c r="F16" s="57" t="s">
        <v>653</v>
      </c>
      <c r="G16" s="57"/>
      <c r="H16" s="57" t="s">
        <v>652</v>
      </c>
      <c r="I16" s="79">
        <v>54.3401942684076</v>
      </c>
      <c r="J16" s="35" t="str">
        <f t="shared" si="16"/>
        <v>volume, m3</v>
      </c>
      <c r="K16" s="17">
        <f>I16*0.75/0.7</f>
        <v>58.221636716151004</v>
      </c>
      <c r="L16" t="b">
        <f t="shared" si="8"/>
        <v>1</v>
      </c>
      <c r="M16" s="35">
        <f t="shared" si="9"/>
        <v>61500</v>
      </c>
      <c r="N16" s="35">
        <f t="shared" si="10"/>
        <v>32500</v>
      </c>
      <c r="O16" s="35">
        <f t="shared" si="11"/>
        <v>0.8</v>
      </c>
      <c r="P16" s="62">
        <f t="shared" si="13"/>
        <v>900865.06394382194</v>
      </c>
      <c r="S16" s="61" t="str">
        <f t="shared" si="4"/>
        <v>HCL-PROT</v>
      </c>
      <c r="T16" s="61" t="str">
        <f t="shared" si="5"/>
        <v>Jacketed, agitated</v>
      </c>
      <c r="U16" s="14" t="s">
        <v>440</v>
      </c>
      <c r="V16" s="14" t="s">
        <v>447</v>
      </c>
      <c r="W16" s="14">
        <v>1</v>
      </c>
      <c r="X16" s="14">
        <v>1</v>
      </c>
      <c r="Y16" s="62" cm="1">
        <f t="array" ref="Y16">IFERROR(_xlfn.XLOOKUP(S16 &amp; T16, $D$8:$D$77 &amp; $E$8:$E$77, $P$8:$P$77*W16),"")</f>
        <v>900865.06394382194</v>
      </c>
      <c r="Z16" s="35">
        <f t="shared" si="12"/>
        <v>1.55</v>
      </c>
      <c r="AA16" s="35">
        <f t="shared" si="14"/>
        <v>2.5</v>
      </c>
      <c r="AB16" s="62">
        <f t="shared" si="7"/>
        <v>3490852.12278231</v>
      </c>
      <c r="AE16" s="56"/>
      <c r="AG16" t="s">
        <v>448</v>
      </c>
      <c r="AH16" t="s">
        <v>449</v>
      </c>
      <c r="AI16" s="14">
        <v>0.26</v>
      </c>
      <c r="AJ16" s="14">
        <v>0.49</v>
      </c>
      <c r="AK16" s="14">
        <v>57000</v>
      </c>
      <c r="AL16" s="14">
        <v>480000</v>
      </c>
      <c r="AM16" s="14">
        <v>0.7</v>
      </c>
      <c r="AP16" t="s">
        <v>450</v>
      </c>
      <c r="AQ16" s="14">
        <v>1</v>
      </c>
      <c r="AT16" t="s">
        <v>451</v>
      </c>
      <c r="AU16" s="14">
        <v>1.65</v>
      </c>
    </row>
    <row r="17" spans="3:47" ht="15.5" thickTop="1" thickBot="1" x14ac:dyDescent="0.4">
      <c r="C17" s="60" t="s">
        <v>556</v>
      </c>
      <c r="D17" s="14" t="s">
        <v>558</v>
      </c>
      <c r="E17" s="14" t="s">
        <v>484</v>
      </c>
      <c r="F17" s="57">
        <f>(('Energy Integration'!G9-'Energy Integration'!K9)-('Energy Integration'!H9-'Energy Integration'!J9))/LN(('Energy Integration'!G9-'Energy Integration'!K9)/('Energy Integration'!H9-'Energy Integration'!J9))</f>
        <v>14.426950408889635</v>
      </c>
      <c r="G17" s="57">
        <v>850</v>
      </c>
      <c r="H17" s="57" t="s">
        <v>645</v>
      </c>
      <c r="I17" s="57">
        <f ca="1">ABS('Energy Integration'!O9)</f>
        <v>1049.4697142857142</v>
      </c>
      <c r="J17" s="35" t="str">
        <f t="shared" si="16"/>
        <v>area, m2</v>
      </c>
      <c r="K17" s="17">
        <f ca="1">I17*1000/(G17*F17)</f>
        <v>85.580820416493424</v>
      </c>
      <c r="L17" t="b">
        <f t="shared" ca="1" si="8"/>
        <v>1</v>
      </c>
      <c r="M17" s="35">
        <f t="shared" si="9"/>
        <v>32000</v>
      </c>
      <c r="N17" s="35">
        <f t="shared" si="10"/>
        <v>70</v>
      </c>
      <c r="O17" s="35">
        <f t="shared" si="11"/>
        <v>1.2</v>
      </c>
      <c r="P17" s="62">
        <f t="shared" ca="1" si="13"/>
        <v>46586.455607973498</v>
      </c>
      <c r="S17" s="61" t="str">
        <f t="shared" si="4"/>
        <v>LS-HX1</v>
      </c>
      <c r="T17" s="61" t="str">
        <f t="shared" si="5"/>
        <v>Floating head shell and tube</v>
      </c>
      <c r="U17" s="14" t="s">
        <v>433</v>
      </c>
      <c r="V17" s="14" t="s">
        <v>447</v>
      </c>
      <c r="W17" s="14">
        <v>1</v>
      </c>
      <c r="X17" s="14">
        <v>1</v>
      </c>
      <c r="Y17" s="62" cm="1">
        <f t="array" aca="1" ref="Y17" ca="1">IFERROR(_xlfn.XLOOKUP(S17 &amp; T17, $D$8:$D$77 &amp; $E$8:$E$77, $P$8:$P$77*W17),"")</f>
        <v>46586.455607973498</v>
      </c>
      <c r="Z17" s="35">
        <f t="shared" si="12"/>
        <v>1.55</v>
      </c>
      <c r="AA17" s="35">
        <f t="shared" si="14"/>
        <v>3.5</v>
      </c>
      <c r="AB17" s="62">
        <f t="shared" ca="1" si="7"/>
        <v>252731.52167325624</v>
      </c>
      <c r="AE17" s="56"/>
      <c r="AG17" t="s">
        <v>452</v>
      </c>
      <c r="AH17" t="s">
        <v>453</v>
      </c>
      <c r="AI17" s="14">
        <v>2</v>
      </c>
      <c r="AJ17" s="14">
        <v>20</v>
      </c>
      <c r="AK17" s="14">
        <v>65000</v>
      </c>
      <c r="AL17" s="14">
        <v>750</v>
      </c>
      <c r="AM17" s="14">
        <v>1.5</v>
      </c>
      <c r="AT17" t="s">
        <v>454</v>
      </c>
      <c r="AU17" s="14">
        <v>1.7</v>
      </c>
    </row>
    <row r="18" spans="3:47" ht="15.5" thickTop="1" thickBot="1" x14ac:dyDescent="0.4">
      <c r="C18" s="60" t="s">
        <v>556</v>
      </c>
      <c r="D18" s="14" t="str">
        <f>'Energy Integration'!C10</f>
        <v>LS-HX1-2</v>
      </c>
      <c r="E18" s="14" t="s">
        <v>484</v>
      </c>
      <c r="F18" s="57">
        <f>(('Energy Integration'!G10-'Energy Integration'!K10)-('Energy Integration'!H10-'Energy Integration'!J10))/LN(('Energy Integration'!G10-'Energy Integration'!K10)/('Energy Integration'!H10-'Energy Integration'!J10))</f>
        <v>17.38029748391104</v>
      </c>
      <c r="G18" s="57">
        <v>850</v>
      </c>
      <c r="H18" s="57" t="s">
        <v>645</v>
      </c>
      <c r="I18" s="57">
        <f ca="1">ABS('Energy Integration'!O10)</f>
        <v>787.1022857142857</v>
      </c>
      <c r="J18" s="35" t="str">
        <f t="shared" si="16"/>
        <v>area, m2</v>
      </c>
      <c r="K18" s="17">
        <f ca="1">I18*1000/(G18*F18)</f>
        <v>53.278874537839869</v>
      </c>
      <c r="L18" t="b">
        <f t="shared" ca="1" si="8"/>
        <v>1</v>
      </c>
      <c r="M18" s="35">
        <f t="shared" si="9"/>
        <v>32000</v>
      </c>
      <c r="N18" s="35">
        <f t="shared" si="10"/>
        <v>70</v>
      </c>
      <c r="O18" s="35">
        <f t="shared" si="11"/>
        <v>1.2</v>
      </c>
      <c r="P18" s="62">
        <f t="shared" ref="P18" ca="1" si="17">IFERROR(M18+N18*(K18)^O18,"")</f>
        <v>40259.696520771293</v>
      </c>
      <c r="S18" s="61" t="str">
        <f t="shared" si="4"/>
        <v>LS-HX1-2</v>
      </c>
      <c r="T18" s="61" t="str">
        <f t="shared" si="5"/>
        <v>Floating head shell and tube</v>
      </c>
      <c r="U18" s="14" t="s">
        <v>433</v>
      </c>
      <c r="V18" s="14" t="s">
        <v>447</v>
      </c>
      <c r="W18" s="14">
        <v>1</v>
      </c>
      <c r="X18" s="14">
        <v>1</v>
      </c>
      <c r="Y18" s="62" cm="1">
        <f t="array" aca="1" ref="Y18" ca="1">IFERROR(_xlfn.XLOOKUP(S18 &amp; T18, $D$8:$D$77 &amp; $E$8:$E$77, $P$8:$P$77*W18),"")</f>
        <v>40259.696520771293</v>
      </c>
      <c r="Z18" s="35">
        <f t="shared" si="12"/>
        <v>1.55</v>
      </c>
      <c r="AA18" s="35">
        <f t="shared" ref="AA18" si="18">_xlfn.IFNA(_xlfn.XLOOKUP(U18,$AP$8:$AP$16,$AQ$8:$AQ$16),"")</f>
        <v>3.5</v>
      </c>
      <c r="AB18" s="62">
        <f t="shared" ca="1" si="7"/>
        <v>218408.85362518427</v>
      </c>
      <c r="AE18" s="56"/>
      <c r="AG18" s="64" t="s">
        <v>424</v>
      </c>
      <c r="AH18" s="64"/>
      <c r="AI18" s="64"/>
      <c r="AJ18" s="64"/>
      <c r="AK18" s="64"/>
      <c r="AL18" s="64"/>
      <c r="AM18" s="64"/>
      <c r="AT18" t="s">
        <v>450</v>
      </c>
      <c r="AU18" s="14">
        <v>1</v>
      </c>
    </row>
    <row r="19" spans="3:47" ht="102.5" thickTop="1" thickBot="1" x14ac:dyDescent="0.4">
      <c r="C19" s="60" t="s">
        <v>556</v>
      </c>
      <c r="D19" s="14" t="s">
        <v>654</v>
      </c>
      <c r="E19" s="14" t="s">
        <v>414</v>
      </c>
      <c r="F19" s="78" t="s">
        <v>694</v>
      </c>
      <c r="G19" s="57"/>
      <c r="H19" s="57" t="s">
        <v>693</v>
      </c>
      <c r="I19" s="57">
        <v>215.59299999999999</v>
      </c>
      <c r="J19" s="35" t="str">
        <f t="shared" si="16"/>
        <v>shell mass, kg</v>
      </c>
      <c r="K19" s="17">
        <f>1.15*PI()*7900*(2.34+0.011)*(19+0.8*(2.34+0.011))*(0.011)</f>
        <v>15412.292842564631</v>
      </c>
      <c r="L19" t="b">
        <f t="shared" si="8"/>
        <v>1</v>
      </c>
      <c r="M19" s="35">
        <f t="shared" si="9"/>
        <v>11600</v>
      </c>
      <c r="N19" s="35">
        <f t="shared" si="10"/>
        <v>34</v>
      </c>
      <c r="O19" s="35">
        <f t="shared" si="11"/>
        <v>0.85</v>
      </c>
      <c r="P19" s="62">
        <f t="shared" si="13"/>
        <v>134957.64833091863</v>
      </c>
      <c r="S19" s="61" t="str">
        <f t="shared" si="4"/>
        <v>LLX</v>
      </c>
      <c r="T19" s="61" t="str">
        <f t="shared" si="5"/>
        <v>Vertical, cs</v>
      </c>
      <c r="U19" s="14" t="s">
        <v>443</v>
      </c>
      <c r="V19" s="14" t="s">
        <v>447</v>
      </c>
      <c r="W19" s="14">
        <v>1</v>
      </c>
      <c r="X19" s="14">
        <v>1</v>
      </c>
      <c r="Y19" s="62" cm="1">
        <f t="array" ref="Y19">IFERROR(_xlfn.XLOOKUP(S19 &amp; T19, $D$8:$D$77 &amp; $E$8:$E$77, $P$8:$P$77*W19),"")</f>
        <v>134957.64833091863</v>
      </c>
      <c r="Z19" s="35">
        <f t="shared" si="12"/>
        <v>1.55</v>
      </c>
      <c r="AA19" s="35">
        <f t="shared" si="14"/>
        <v>4</v>
      </c>
      <c r="AB19" s="62">
        <f t="shared" si="7"/>
        <v>836737.41965169553</v>
      </c>
      <c r="AE19" s="56"/>
      <c r="AG19" t="s">
        <v>455</v>
      </c>
      <c r="AH19" t="s">
        <v>456</v>
      </c>
      <c r="AI19" s="14">
        <v>200</v>
      </c>
      <c r="AJ19" s="14">
        <v>5000</v>
      </c>
      <c r="AK19" s="14">
        <v>4450</v>
      </c>
      <c r="AL19" s="14">
        <v>57</v>
      </c>
      <c r="AM19" s="14">
        <v>0.8</v>
      </c>
    </row>
    <row r="20" spans="3:47" ht="15.5" thickTop="1" thickBot="1" x14ac:dyDescent="0.4">
      <c r="C20" s="60" t="s">
        <v>556</v>
      </c>
      <c r="D20" s="14" t="s">
        <v>654</v>
      </c>
      <c r="E20" s="14" t="s">
        <v>502</v>
      </c>
      <c r="F20" s="57"/>
      <c r="G20" s="57"/>
      <c r="H20" s="57"/>
      <c r="I20" s="57"/>
      <c r="J20" s="35" t="str">
        <f t="shared" si="16"/>
        <v>m3</v>
      </c>
      <c r="K20" s="17">
        <f>15*PI()/4*2.34^2</f>
        <v>64.507892752486001</v>
      </c>
      <c r="L20" t="b">
        <f t="shared" si="8"/>
        <v>0</v>
      </c>
      <c r="M20" s="35">
        <f t="shared" si="9"/>
        <v>0</v>
      </c>
      <c r="N20" s="35">
        <f t="shared" si="10"/>
        <v>7600</v>
      </c>
      <c r="O20" s="35">
        <f t="shared" si="11"/>
        <v>1</v>
      </c>
      <c r="P20" s="62">
        <f t="shared" ref="P20" si="19">IFERROR(M20+N20*(K20)^O20,"")</f>
        <v>490259.98491889361</v>
      </c>
      <c r="S20" s="61" t="str">
        <f t="shared" si="4"/>
        <v>LLX</v>
      </c>
      <c r="T20" s="61" t="str">
        <f t="shared" si="5"/>
        <v>304 ss structured packing</v>
      </c>
      <c r="U20" s="14" t="s">
        <v>440</v>
      </c>
      <c r="V20" s="14" t="s">
        <v>447</v>
      </c>
      <c r="W20" s="14">
        <v>1</v>
      </c>
      <c r="X20" s="14">
        <v>1</v>
      </c>
      <c r="Y20" s="62" cm="1">
        <f t="array" ref="Y20">IFERROR(_xlfn.XLOOKUP(S20 &amp; T20, $D$8:$D$77 &amp; $E$8:$E$77, $P$8:$P$77*W20),"")</f>
        <v>490259.98491889361</v>
      </c>
      <c r="Z20" s="35">
        <f t="shared" si="12"/>
        <v>1.55</v>
      </c>
      <c r="AA20" s="35">
        <f t="shared" ref="AA20" si="20">_xlfn.IFNA(_xlfn.XLOOKUP(U20,$AP$8:$AP$16,$AQ$8:$AQ$16),"")</f>
        <v>2.5</v>
      </c>
      <c r="AB20" s="62">
        <f t="shared" si="7"/>
        <v>1899757.4415607126</v>
      </c>
      <c r="AE20" s="56"/>
      <c r="AG20" t="s">
        <v>457</v>
      </c>
      <c r="AH20" t="s">
        <v>426</v>
      </c>
      <c r="AI20" s="14">
        <v>75</v>
      </c>
      <c r="AJ20" s="14">
        <v>30000</v>
      </c>
      <c r="AK20" s="14">
        <v>580000</v>
      </c>
      <c r="AL20" s="14">
        <v>20000</v>
      </c>
      <c r="AM20" s="14">
        <v>0.6</v>
      </c>
    </row>
    <row r="21" spans="3:47" ht="15.5" thickTop="1" thickBot="1" x14ac:dyDescent="0.4">
      <c r="C21" s="60" t="s">
        <v>556</v>
      </c>
      <c r="D21" s="14" t="s">
        <v>669</v>
      </c>
      <c r="E21" s="14" t="s">
        <v>484</v>
      </c>
      <c r="F21" s="57">
        <f>(('Energy Integration'!G18-'Energy Integration'!K18)-('Energy Integration'!H18-'Energy Integration'!J18))/LN(('Energy Integration'!G18-'Energy Integration'!K18)/('Energy Integration'!H18-'Energy Integration'!J18))</f>
        <v>28.194892507905156</v>
      </c>
      <c r="G21" s="57">
        <v>700</v>
      </c>
      <c r="H21" s="57" t="s">
        <v>645</v>
      </c>
      <c r="I21" s="57">
        <f>'Energy Integration'!M11</f>
        <v>3448.3331600000001</v>
      </c>
      <c r="J21" s="35" t="str">
        <f t="shared" si="16"/>
        <v>area, m2</v>
      </c>
      <c r="K21" s="17">
        <f>I21*1000/(G21*F21)</f>
        <v>174.71924133742473</v>
      </c>
      <c r="L21" t="b">
        <f t="shared" si="8"/>
        <v>1</v>
      </c>
      <c r="M21" s="35">
        <f t="shared" si="9"/>
        <v>32000</v>
      </c>
      <c r="N21" s="35">
        <f t="shared" si="10"/>
        <v>70</v>
      </c>
      <c r="O21" s="35">
        <f t="shared" si="11"/>
        <v>1.2</v>
      </c>
      <c r="P21" s="62">
        <f t="shared" si="13"/>
        <v>66348.432468735598</v>
      </c>
      <c r="S21" s="61" t="str">
        <f t="shared" si="4"/>
        <v>LS-HX2/SS-COND</v>
      </c>
      <c r="T21" s="61" t="str">
        <f t="shared" si="5"/>
        <v>Floating head shell and tube</v>
      </c>
      <c r="U21" s="14" t="s">
        <v>433</v>
      </c>
      <c r="V21" s="14" t="s">
        <v>437</v>
      </c>
      <c r="W21" s="14">
        <v>1</v>
      </c>
      <c r="X21" s="14">
        <v>1</v>
      </c>
      <c r="Y21" s="62" cm="1">
        <f t="array" ref="Y21">IFERROR(_xlfn.XLOOKUP(S21 &amp; T21, $D$8:$D$77 &amp; $E$8:$E$77, $P$8:$P$77*W21),"")</f>
        <v>66348.432468735598</v>
      </c>
      <c r="Z21" s="35">
        <f t="shared" si="12"/>
        <v>1.3</v>
      </c>
      <c r="AA21" s="35">
        <f t="shared" si="14"/>
        <v>3.5</v>
      </c>
      <c r="AB21" s="62">
        <f t="shared" si="7"/>
        <v>301885.36773274699</v>
      </c>
      <c r="AE21" s="56"/>
      <c r="AG21" t="s">
        <v>458</v>
      </c>
      <c r="AH21" t="s">
        <v>426</v>
      </c>
      <c r="AI21" s="14">
        <v>93</v>
      </c>
      <c r="AJ21" s="14">
        <v>16800</v>
      </c>
      <c r="AK21" s="14">
        <v>260000</v>
      </c>
      <c r="AL21" s="14">
        <v>2700</v>
      </c>
      <c r="AM21" s="14">
        <v>0.75</v>
      </c>
    </row>
    <row r="22" spans="3:47" ht="15.5" thickTop="1" thickBot="1" x14ac:dyDescent="0.4">
      <c r="C22" s="60" t="s">
        <v>556</v>
      </c>
      <c r="D22" s="14" t="s">
        <v>655</v>
      </c>
      <c r="E22" s="14" t="s">
        <v>505</v>
      </c>
      <c r="F22" s="57" t="s">
        <v>850</v>
      </c>
      <c r="G22" s="57"/>
      <c r="H22" s="57" t="s">
        <v>687</v>
      </c>
      <c r="I22" s="57">
        <f>14.0208+4</f>
        <v>18.020800000000001</v>
      </c>
      <c r="J22" s="35" t="str">
        <f t="shared" si="16"/>
        <v>shell mass, kg</v>
      </c>
      <c r="K22" s="17">
        <f>1.15*PI()*8000*(K23+0.015)*(I22+0.8*(K23+0.015))*(0.015)</f>
        <v>39180.814799130116</v>
      </c>
      <c r="L22" t="b">
        <f t="shared" si="8"/>
        <v>1</v>
      </c>
      <c r="M22" s="35">
        <f t="shared" si="9"/>
        <v>17400</v>
      </c>
      <c r="N22" s="35">
        <f t="shared" si="10"/>
        <v>79</v>
      </c>
      <c r="O22" s="35">
        <f t="shared" si="11"/>
        <v>0.85</v>
      </c>
      <c r="P22" s="62">
        <f t="shared" si="13"/>
        <v>650889.66654043295</v>
      </c>
      <c r="S22" s="61" t="str">
        <f t="shared" si="4"/>
        <v>MVR-DC</v>
      </c>
      <c r="T22" s="61" t="str">
        <f t="shared" si="5"/>
        <v>Vertical, ss</v>
      </c>
      <c r="U22" s="14" t="s">
        <v>415</v>
      </c>
      <c r="V22" s="14" t="s">
        <v>416</v>
      </c>
      <c r="W22" s="14">
        <v>1</v>
      </c>
      <c r="X22" s="14">
        <v>1</v>
      </c>
      <c r="Y22" s="62" cm="1">
        <f t="array" ref="Y22">IFERROR(_xlfn.XLOOKUP(S22 &amp; T22, $D$8:$D$77 &amp; $E$8:$E$77, $P$8:$P$77*W22),"")</f>
        <v>650889.66654043295</v>
      </c>
      <c r="Z22" s="35">
        <f t="shared" si="12"/>
        <v>1</v>
      </c>
      <c r="AA22" s="35">
        <f t="shared" si="14"/>
        <v>4</v>
      </c>
      <c r="AB22" s="62">
        <f t="shared" si="7"/>
        <v>2603558.6661617318</v>
      </c>
      <c r="AE22" s="56"/>
      <c r="AG22" s="64" t="s">
        <v>459</v>
      </c>
      <c r="AH22" s="64"/>
      <c r="AI22" s="64"/>
      <c r="AJ22" s="64"/>
      <c r="AK22" s="64"/>
      <c r="AL22" s="64"/>
      <c r="AM22" s="64"/>
    </row>
    <row r="23" spans="3:47" ht="15.5" thickTop="1" thickBot="1" x14ac:dyDescent="0.4">
      <c r="C23" s="60" t="s">
        <v>556</v>
      </c>
      <c r="D23" s="14" t="s">
        <v>655</v>
      </c>
      <c r="E23" s="14" t="s">
        <v>520</v>
      </c>
      <c r="F23" s="57"/>
      <c r="G23" s="57"/>
      <c r="H23" s="57"/>
      <c r="I23" s="57"/>
      <c r="J23" s="35" t="str">
        <f t="shared" si="16"/>
        <v>diameter, m</v>
      </c>
      <c r="K23" s="17">
        <v>4.2082173870000004</v>
      </c>
      <c r="L23" t="b">
        <f t="shared" si="8"/>
        <v>1</v>
      </c>
      <c r="M23" s="35">
        <f t="shared" si="9"/>
        <v>130</v>
      </c>
      <c r="N23" s="35">
        <f t="shared" si="10"/>
        <v>440</v>
      </c>
      <c r="O23" s="35">
        <f t="shared" si="11"/>
        <v>1.8</v>
      </c>
      <c r="P23" s="62">
        <f t="shared" si="13"/>
        <v>5975.6037911822996</v>
      </c>
      <c r="S23" s="61" t="str">
        <f t="shared" si="4"/>
        <v>MVR-DC</v>
      </c>
      <c r="T23" s="61" t="str">
        <f t="shared" si="5"/>
        <v>Sieve trays</v>
      </c>
      <c r="U23" s="14" t="s">
        <v>415</v>
      </c>
      <c r="V23" s="14" t="s">
        <v>437</v>
      </c>
      <c r="W23" s="14">
        <v>23</v>
      </c>
      <c r="X23" s="14">
        <v>23</v>
      </c>
      <c r="Y23" s="62" cm="1">
        <f t="array" ref="Y23">IFERROR(_xlfn.XLOOKUP(S23 &amp; T23, $D$8:$D$77 &amp; $E$8:$E$77, $P$8:$P$77*W23),"")</f>
        <v>137438.8871971929</v>
      </c>
      <c r="Z23" s="35">
        <f t="shared" si="12"/>
        <v>1.3</v>
      </c>
      <c r="AA23" s="35">
        <f t="shared" si="14"/>
        <v>4</v>
      </c>
      <c r="AB23" s="62">
        <f t="shared" si="7"/>
        <v>714682.21342540311</v>
      </c>
      <c r="AE23" s="56"/>
      <c r="AG23" t="s">
        <v>460</v>
      </c>
      <c r="AH23" t="s">
        <v>461</v>
      </c>
      <c r="AI23" s="14">
        <v>10</v>
      </c>
      <c r="AJ23" s="14">
        <v>500</v>
      </c>
      <c r="AK23" s="14">
        <v>41000</v>
      </c>
      <c r="AL23" s="14">
        <v>730</v>
      </c>
      <c r="AM23" s="14">
        <v>1</v>
      </c>
    </row>
    <row r="24" spans="3:47" ht="15.5" thickTop="1" thickBot="1" x14ac:dyDescent="0.4">
      <c r="C24" s="60" t="s">
        <v>556</v>
      </c>
      <c r="D24" s="14" t="s">
        <v>606</v>
      </c>
      <c r="E24" s="14" t="s">
        <v>457</v>
      </c>
      <c r="F24" s="57"/>
      <c r="G24" s="57"/>
      <c r="H24" s="57"/>
      <c r="I24" s="57"/>
      <c r="J24" s="35" t="str">
        <f t="shared" si="16"/>
        <v>driver power, kW</v>
      </c>
      <c r="K24" s="17">
        <f>'Energy Integration'!F38</f>
        <v>2151.7338399999999</v>
      </c>
      <c r="L24" t="b">
        <f t="shared" si="8"/>
        <v>1</v>
      </c>
      <c r="M24" s="35">
        <f t="shared" si="9"/>
        <v>580000</v>
      </c>
      <c r="N24" s="35">
        <f t="shared" si="10"/>
        <v>20000</v>
      </c>
      <c r="O24" s="35">
        <f t="shared" si="11"/>
        <v>0.6</v>
      </c>
      <c r="P24" s="62">
        <f t="shared" si="13"/>
        <v>2578495.2743599936</v>
      </c>
      <c r="S24" s="61" t="str">
        <f t="shared" si="4"/>
        <v>MVR-COMP</v>
      </c>
      <c r="T24" s="61" t="str">
        <f t="shared" si="5"/>
        <v>Centrifugal</v>
      </c>
      <c r="U24" s="14" t="s">
        <v>424</v>
      </c>
      <c r="V24" s="14" t="s">
        <v>437</v>
      </c>
      <c r="W24" s="14">
        <v>1</v>
      </c>
      <c r="X24" s="14">
        <v>1</v>
      </c>
      <c r="Y24" s="62" cm="1">
        <f t="array" ref="Y24">IFERROR(_xlfn.XLOOKUP(S24 &amp; T24, $D$8:$D$77 &amp; $E$8:$E$77, $P$8:$P$77*W24),"")</f>
        <v>2578495.2743599936</v>
      </c>
      <c r="Z24" s="35">
        <f t="shared" si="12"/>
        <v>1.3</v>
      </c>
      <c r="AA24" s="35">
        <f t="shared" si="14"/>
        <v>2.5</v>
      </c>
      <c r="AB24" s="62">
        <f t="shared" si="7"/>
        <v>8380109.6416699793</v>
      </c>
      <c r="AE24" s="56"/>
      <c r="AG24" t="s">
        <v>462</v>
      </c>
      <c r="AH24" t="s">
        <v>461</v>
      </c>
      <c r="AI24" s="14">
        <v>10</v>
      </c>
      <c r="AJ24" s="14">
        <v>500</v>
      </c>
      <c r="AK24" s="14">
        <v>46000</v>
      </c>
      <c r="AL24" s="14">
        <v>1320</v>
      </c>
      <c r="AM24" s="14">
        <v>1</v>
      </c>
    </row>
    <row r="25" spans="3:47" ht="15.5" thickTop="1" thickBot="1" x14ac:dyDescent="0.4">
      <c r="C25" s="60" t="s">
        <v>556</v>
      </c>
      <c r="D25" s="14" t="s">
        <v>569</v>
      </c>
      <c r="E25" s="14" t="s">
        <v>487</v>
      </c>
      <c r="F25" s="57">
        <f>(('Energy Integration'!G14-'Energy Integration'!K14)-('Energy Integration'!H14-'Energy Integration'!J14))/LN(('Energy Integration'!G14-'Energy Integration'!K14)/('Energy Integration'!H14-'Energy Integration'!J14))</f>
        <v>15.978369147611575</v>
      </c>
      <c r="G25" s="57">
        <v>800</v>
      </c>
      <c r="H25" s="57" t="s">
        <v>645</v>
      </c>
      <c r="I25" s="57">
        <f>'Energy Integration'!F14</f>
        <v>16000</v>
      </c>
      <c r="J25" s="35" t="str">
        <f t="shared" si="16"/>
        <v>area, m2</v>
      </c>
      <c r="K25" s="17">
        <f>I25*1000/(G25*F25)/3</f>
        <v>417.23073269108886</v>
      </c>
      <c r="L25" t="b">
        <f t="shared" si="8"/>
        <v>1</v>
      </c>
      <c r="M25" s="35">
        <f t="shared" si="9"/>
        <v>29000</v>
      </c>
      <c r="N25" s="35">
        <f t="shared" si="10"/>
        <v>400</v>
      </c>
      <c r="O25" s="35">
        <f t="shared" si="11"/>
        <v>0.9</v>
      </c>
      <c r="P25" s="62">
        <f t="shared" si="13"/>
        <v>120284.83876200386</v>
      </c>
      <c r="S25" s="61" t="str">
        <f t="shared" si="4"/>
        <v>MVR-SI-R</v>
      </c>
      <c r="T25" s="61" t="str">
        <f t="shared" si="5"/>
        <v>U-tube Kettle reboiler</v>
      </c>
      <c r="U25" s="14" t="s">
        <v>433</v>
      </c>
      <c r="V25" s="14" t="s">
        <v>437</v>
      </c>
      <c r="W25" s="14">
        <v>3</v>
      </c>
      <c r="X25" s="14">
        <v>3</v>
      </c>
      <c r="Y25" s="62" cm="1">
        <f t="array" ref="Y25">IFERROR(_xlfn.XLOOKUP(S25 &amp; T25, $D$8:$D$77 &amp; $E$8:$E$77, $P$8:$P$77*W25),"")</f>
        <v>360854.51628601155</v>
      </c>
      <c r="Z25" s="35">
        <f t="shared" si="12"/>
        <v>1.3</v>
      </c>
      <c r="AA25" s="35">
        <f t="shared" si="14"/>
        <v>3.5</v>
      </c>
      <c r="AB25" s="62">
        <f t="shared" si="7"/>
        <v>1641888.0491013527</v>
      </c>
      <c r="AE25" s="56"/>
      <c r="AG25" t="s">
        <v>463</v>
      </c>
      <c r="AH25" t="s">
        <v>461</v>
      </c>
      <c r="AI25" s="14">
        <v>10</v>
      </c>
      <c r="AJ25" s="14">
        <v>30</v>
      </c>
      <c r="AK25" s="14">
        <v>17000</v>
      </c>
      <c r="AL25" s="14">
        <v>2600</v>
      </c>
      <c r="AM25" s="14">
        <v>1</v>
      </c>
    </row>
    <row r="26" spans="3:47" ht="15.5" thickTop="1" thickBot="1" x14ac:dyDescent="0.4">
      <c r="C26" s="60" t="s">
        <v>556</v>
      </c>
      <c r="D26" s="14" t="s">
        <v>683</v>
      </c>
      <c r="E26" s="14" t="s">
        <v>483</v>
      </c>
      <c r="F26" s="57">
        <f>(('Energy Integration'!G12-'Energy Integration'!K12)-('Energy Integration'!H12-'Energy Integration'!J12))/LN(('Energy Integration'!G12-'Energy Integration'!K12)/('Energy Integration'!H12-'Energy Integration'!J12))</f>
        <v>22.983604431962576</v>
      </c>
      <c r="G26" s="57">
        <v>700</v>
      </c>
      <c r="H26" s="57" t="s">
        <v>645</v>
      </c>
      <c r="I26" s="57">
        <f>'Energy Integration'!M12</f>
        <v>1931.5398105019531</v>
      </c>
      <c r="J26" s="35" t="str">
        <f t="shared" si="16"/>
        <v>area, m2</v>
      </c>
      <c r="K26" s="17">
        <f>I26*1000/(G26*F26)</f>
        <v>120.05699952762981</v>
      </c>
      <c r="L26" t="b">
        <f t="shared" si="8"/>
        <v>1</v>
      </c>
      <c r="M26" s="35">
        <f t="shared" si="9"/>
        <v>28000</v>
      </c>
      <c r="N26" s="35">
        <f t="shared" si="10"/>
        <v>54</v>
      </c>
      <c r="O26" s="35">
        <f t="shared" si="11"/>
        <v>1.2</v>
      </c>
      <c r="P26" s="62">
        <f t="shared" si="13"/>
        <v>44891.131466015446</v>
      </c>
      <c r="S26" s="61" t="str">
        <f t="shared" si="4"/>
        <v>MVR-COND/LS-HX3</v>
      </c>
      <c r="T26" s="61" t="str">
        <f t="shared" si="5"/>
        <v>U-tube shell and tube</v>
      </c>
      <c r="U26" s="14" t="s">
        <v>433</v>
      </c>
      <c r="V26" s="14" t="s">
        <v>437</v>
      </c>
      <c r="W26" s="14">
        <v>1</v>
      </c>
      <c r="X26" s="14">
        <v>1</v>
      </c>
      <c r="Y26" s="62" cm="1">
        <f t="array" ref="Y26">IFERROR(_xlfn.XLOOKUP(S26 &amp; T26, $D$8:$D$77 &amp; $E$8:$E$77, $P$8:$P$77*W26),"")</f>
        <v>44891.131466015446</v>
      </c>
      <c r="Z26" s="35">
        <f t="shared" si="12"/>
        <v>1.3</v>
      </c>
      <c r="AA26" s="35">
        <f t="shared" si="14"/>
        <v>3.5</v>
      </c>
      <c r="AB26" s="62">
        <f t="shared" si="7"/>
        <v>204254.64817037029</v>
      </c>
      <c r="AE26" s="56"/>
      <c r="AG26" s="64" t="s">
        <v>464</v>
      </c>
      <c r="AH26" s="64"/>
      <c r="AI26" s="64"/>
      <c r="AJ26" s="64"/>
      <c r="AK26" s="64"/>
      <c r="AL26" s="64"/>
      <c r="AM26" s="64"/>
    </row>
    <row r="27" spans="3:47" ht="15.5" thickTop="1" thickBot="1" x14ac:dyDescent="0.4">
      <c r="C27" s="60" t="s">
        <v>556</v>
      </c>
      <c r="D27" s="14" t="s">
        <v>679</v>
      </c>
      <c r="E27" s="14" t="s">
        <v>483</v>
      </c>
      <c r="F27" s="57">
        <f>(('Energy Integration'!G13-'Energy Integration'!K13)-('Energy Integration'!H13-'Energy Integration'!J13))/LN(('Energy Integration'!G13-'Energy Integration'!K13)/('Energy Integration'!H13-'Energy Integration'!J13))</f>
        <v>37.397433404936812</v>
      </c>
      <c r="G27" s="57">
        <v>850</v>
      </c>
      <c r="H27" s="57" t="s">
        <v>645</v>
      </c>
      <c r="I27" s="57">
        <f>ABS('Energy Integration'!O13)</f>
        <v>4271.0583094980466</v>
      </c>
      <c r="J27" s="35" t="str">
        <f t="shared" si="16"/>
        <v>area, m2</v>
      </c>
      <c r="K27" s="17">
        <f>I27*1000/(G27*F27)</f>
        <v>134.36147949926132</v>
      </c>
      <c r="L27" t="b">
        <f t="shared" si="8"/>
        <v>1</v>
      </c>
      <c r="M27" s="35">
        <f t="shared" si="9"/>
        <v>28000</v>
      </c>
      <c r="N27" s="35">
        <f t="shared" si="10"/>
        <v>54</v>
      </c>
      <c r="O27" s="35">
        <f t="shared" si="11"/>
        <v>1.2</v>
      </c>
      <c r="P27" s="62">
        <f t="shared" ref="P27" si="21">IFERROR(M27+N27*(K27)^O27,"")</f>
        <v>47334.079171101366</v>
      </c>
      <c r="S27" s="61" t="str">
        <f t="shared" si="4"/>
        <v>MVR-COND2</v>
      </c>
      <c r="T27" s="61" t="str">
        <f t="shared" si="5"/>
        <v>U-tube shell and tube</v>
      </c>
      <c r="U27" s="14" t="s">
        <v>433</v>
      </c>
      <c r="V27" s="14" t="s">
        <v>437</v>
      </c>
      <c r="W27" s="14">
        <v>1</v>
      </c>
      <c r="X27" s="14">
        <v>1</v>
      </c>
      <c r="Y27" s="62" cm="1">
        <f t="array" ref="Y27">IFERROR(_xlfn.XLOOKUP(S27 &amp; T27, $D$8:$D$77 &amp; $E$8:$E$77, $P$8:$P$77*W27),"")</f>
        <v>47334.079171101366</v>
      </c>
      <c r="Z27" s="35">
        <f t="shared" si="12"/>
        <v>1.3</v>
      </c>
      <c r="AA27" s="35">
        <f t="shared" ref="AA27" si="22">_xlfn.IFNA(_xlfn.XLOOKUP(U27,$AP$8:$AP$16,$AQ$8:$AQ$16),"")</f>
        <v>3.5</v>
      </c>
      <c r="AB27" s="62">
        <f t="shared" si="7"/>
        <v>215370.06022851123</v>
      </c>
      <c r="AE27" s="56"/>
      <c r="AG27" t="s">
        <v>465</v>
      </c>
      <c r="AH27" t="s">
        <v>466</v>
      </c>
      <c r="AI27" s="14">
        <v>30</v>
      </c>
      <c r="AJ27" s="14">
        <v>400</v>
      </c>
      <c r="AK27" s="14">
        <v>68400</v>
      </c>
      <c r="AL27" s="14">
        <v>730</v>
      </c>
      <c r="AM27" s="14">
        <v>1</v>
      </c>
    </row>
    <row r="28" spans="3:47" ht="15.5" thickTop="1" thickBot="1" x14ac:dyDescent="0.4">
      <c r="C28" s="60" t="s">
        <v>556</v>
      </c>
      <c r="D28" s="14" t="str">
        <f>'Energy Integration'!C15</f>
        <v>MVRDC-REB</v>
      </c>
      <c r="E28" s="14" t="s">
        <v>487</v>
      </c>
      <c r="F28" s="57">
        <f>(('Energy Integration'!G15-'Energy Integration'!K15)-('Energy Integration'!H15-'Energy Integration'!J15))/LN(('Energy Integration'!G15-'Energy Integration'!K15)/('Energy Integration'!H15-'Energy Integration'!J15))</f>
        <v>14.565132022875105</v>
      </c>
      <c r="G28" s="57">
        <v>1000</v>
      </c>
      <c r="H28" s="57" t="s">
        <v>645</v>
      </c>
      <c r="I28" s="57">
        <f>'Energy Integration'!F15</f>
        <v>3991.79</v>
      </c>
      <c r="J28" s="35" t="str">
        <f t="shared" si="16"/>
        <v>area, m2</v>
      </c>
      <c r="K28" s="17">
        <f>I28*1000/(G28*F28)</f>
        <v>274.06480035544746</v>
      </c>
      <c r="L28" t="b">
        <f t="shared" si="8"/>
        <v>1</v>
      </c>
      <c r="M28" s="35">
        <f t="shared" si="9"/>
        <v>29000</v>
      </c>
      <c r="N28" s="35">
        <f t="shared" si="10"/>
        <v>400</v>
      </c>
      <c r="O28" s="35">
        <f t="shared" si="11"/>
        <v>0.9</v>
      </c>
      <c r="P28" s="62">
        <f t="shared" si="13"/>
        <v>91535.687050308028</v>
      </c>
      <c r="S28" s="61" t="str">
        <f t="shared" si="4"/>
        <v>MVRDC-REB</v>
      </c>
      <c r="T28" s="61" t="str">
        <f t="shared" si="5"/>
        <v>U-tube Kettle reboiler</v>
      </c>
      <c r="U28" s="14" t="s">
        <v>433</v>
      </c>
      <c r="V28" s="14" t="s">
        <v>437</v>
      </c>
      <c r="W28" s="14">
        <v>1</v>
      </c>
      <c r="X28" s="14">
        <v>1</v>
      </c>
      <c r="Y28" s="62" cm="1">
        <f t="array" ref="Y28">IFERROR(_xlfn.XLOOKUP(S28 &amp; T28, $D$8:$D$77 &amp; $E$8:$E$77, $P$8:$P$77*W28),"")</f>
        <v>91535.687050308028</v>
      </c>
      <c r="Z28" s="35">
        <f t="shared" si="12"/>
        <v>1.3</v>
      </c>
      <c r="AA28" s="35">
        <f t="shared" si="14"/>
        <v>3.5</v>
      </c>
      <c r="AB28" s="62">
        <f t="shared" si="7"/>
        <v>416487.37607890152</v>
      </c>
      <c r="AE28" s="56"/>
      <c r="AG28" t="s">
        <v>467</v>
      </c>
      <c r="AH28" t="s">
        <v>201</v>
      </c>
      <c r="AI28" s="14">
        <v>200</v>
      </c>
      <c r="AJ28" s="14">
        <v>4000</v>
      </c>
      <c r="AK28" s="14">
        <v>16000</v>
      </c>
      <c r="AL28" s="14">
        <v>670</v>
      </c>
      <c r="AM28" s="14">
        <v>0.5</v>
      </c>
    </row>
    <row r="29" spans="3:47" ht="73.5" thickTop="1" thickBot="1" x14ac:dyDescent="0.4">
      <c r="C29" s="60" t="s">
        <v>556</v>
      </c>
      <c r="D29" s="14" t="s">
        <v>656</v>
      </c>
      <c r="E29" s="14" t="s">
        <v>506</v>
      </c>
      <c r="F29" s="78" t="s">
        <v>690</v>
      </c>
      <c r="G29" s="57"/>
      <c r="H29" s="57" t="s">
        <v>689</v>
      </c>
      <c r="I29" s="57">
        <v>4.8000000000000001E-2</v>
      </c>
      <c r="J29" s="35" t="str">
        <f t="shared" si="16"/>
        <v>shell mass, kg</v>
      </c>
      <c r="K29" s="17">
        <f>1.08*PI()*8000*(2.9+0.01)*(8.7+0.8*(2.9+0.01))*(0.01)</f>
        <v>8710.7061148551729</v>
      </c>
      <c r="L29" t="b">
        <f t="shared" si="8"/>
        <v>1</v>
      </c>
      <c r="M29" s="35">
        <f t="shared" si="9"/>
        <v>12800</v>
      </c>
      <c r="N29" s="35">
        <f t="shared" si="10"/>
        <v>73</v>
      </c>
      <c r="O29" s="35">
        <f t="shared" si="11"/>
        <v>0.85</v>
      </c>
      <c r="P29" s="62">
        <f t="shared" si="13"/>
        <v>175867.80204267791</v>
      </c>
      <c r="S29" s="61" t="str">
        <f t="shared" si="4"/>
        <v>DECANT</v>
      </c>
      <c r="T29" s="61" t="str">
        <f t="shared" si="5"/>
        <v>Horizontal, ss</v>
      </c>
      <c r="U29" s="14" t="s">
        <v>443</v>
      </c>
      <c r="V29" s="14" t="s">
        <v>416</v>
      </c>
      <c r="W29" s="14">
        <v>1</v>
      </c>
      <c r="X29" s="14">
        <v>1</v>
      </c>
      <c r="Y29" s="62" cm="1">
        <f t="array" ref="Y29">IFERROR(_xlfn.XLOOKUP(S29 &amp; T29, $D$8:$D$77 &amp; $E$8:$E$77, $P$8:$P$77*W29),"")</f>
        <v>175867.80204267791</v>
      </c>
      <c r="Z29" s="35">
        <f t="shared" si="12"/>
        <v>1</v>
      </c>
      <c r="AA29" s="35">
        <f t="shared" si="14"/>
        <v>4</v>
      </c>
      <c r="AB29" s="62">
        <f t="shared" si="7"/>
        <v>703471.20817071164</v>
      </c>
      <c r="AE29" s="56"/>
      <c r="AG29" t="s">
        <v>468</v>
      </c>
      <c r="AH29" t="s">
        <v>466</v>
      </c>
      <c r="AI29" s="14">
        <v>100</v>
      </c>
      <c r="AJ29" s="14">
        <v>600</v>
      </c>
      <c r="AK29" s="14">
        <v>-8000</v>
      </c>
      <c r="AL29" s="14">
        <v>62000</v>
      </c>
      <c r="AM29" s="14">
        <v>0.5</v>
      </c>
    </row>
    <row r="30" spans="3:47" ht="15.5" thickTop="1" thickBot="1" x14ac:dyDescent="0.4">
      <c r="C30" s="60" t="s">
        <v>556</v>
      </c>
      <c r="D30" s="14" t="str">
        <f>'Energy Integration'!C17</f>
        <v>LS-HX3-2</v>
      </c>
      <c r="E30" s="14" t="s">
        <v>484</v>
      </c>
      <c r="F30" s="57">
        <f>(('Energy Integration'!G17-'Energy Integration'!K17)-('Energy Integration'!H17-'Energy Integration'!J17))/LN(('Energy Integration'!G17-'Energy Integration'!K17)/('Energy Integration'!H17-'Energy Integration'!J17))</f>
        <v>42.906506429906443</v>
      </c>
      <c r="G30" s="57">
        <v>1200</v>
      </c>
      <c r="H30" s="57" t="s">
        <v>645</v>
      </c>
      <c r="I30" s="57">
        <f>'Energy Integration'!O17</f>
        <v>840.07318949804676</v>
      </c>
      <c r="J30" s="35" t="str">
        <f t="shared" si="16"/>
        <v>area, m2</v>
      </c>
      <c r="K30" s="17">
        <f>I30*1000/(G30*F30)</f>
        <v>16.315963463304012</v>
      </c>
      <c r="L30" t="b">
        <f t="shared" si="8"/>
        <v>1</v>
      </c>
      <c r="M30" s="35">
        <f t="shared" si="9"/>
        <v>32000</v>
      </c>
      <c r="N30" s="35">
        <f t="shared" si="10"/>
        <v>70</v>
      </c>
      <c r="O30" s="35">
        <f t="shared" si="11"/>
        <v>1.2</v>
      </c>
      <c r="P30" s="62">
        <f t="shared" ref="P30:P31" si="23">IFERROR(M30+N30*(K30)^O30,"")</f>
        <v>33996.334485249914</v>
      </c>
      <c r="S30" s="61" t="str">
        <f t="shared" si="4"/>
        <v>LS-HX3-2</v>
      </c>
      <c r="T30" s="61" t="str">
        <f t="shared" si="5"/>
        <v>Floating head shell and tube</v>
      </c>
      <c r="U30" s="14" t="s">
        <v>433</v>
      </c>
      <c r="V30" s="14" t="s">
        <v>447</v>
      </c>
      <c r="W30" s="14">
        <v>1</v>
      </c>
      <c r="X30" s="14">
        <v>1</v>
      </c>
      <c r="Y30" s="62" cm="1">
        <f t="array" ref="Y30">IFERROR(_xlfn.XLOOKUP(S30 &amp; T30, $D$8:$D$77 &amp; $E$8:$E$77, $P$8:$P$77*W30),"")</f>
        <v>33996.334485249914</v>
      </c>
      <c r="Z30" s="35">
        <f t="shared" si="12"/>
        <v>1.55</v>
      </c>
      <c r="AA30" s="35">
        <f t="shared" ref="AA30:AA31" si="24">_xlfn.IFNA(_xlfn.XLOOKUP(U30,$AP$8:$AP$16,$AQ$8:$AQ$16),"")</f>
        <v>3.5</v>
      </c>
      <c r="AB30" s="62">
        <f t="shared" si="7"/>
        <v>184430.1145824808</v>
      </c>
      <c r="AE30" s="56"/>
      <c r="AG30" t="s">
        <v>469</v>
      </c>
      <c r="AH30" t="s">
        <v>466</v>
      </c>
      <c r="AI30" s="14">
        <v>200</v>
      </c>
      <c r="AJ30" s="14">
        <v>3000</v>
      </c>
      <c r="AK30" s="14">
        <v>5000</v>
      </c>
      <c r="AL30" s="14">
        <v>5100</v>
      </c>
      <c r="AM30" s="14">
        <v>0.7</v>
      </c>
    </row>
    <row r="31" spans="3:47" ht="44.5" thickTop="1" thickBot="1" x14ac:dyDescent="0.4">
      <c r="C31" s="60" t="s">
        <v>556</v>
      </c>
      <c r="D31" s="14" t="s">
        <v>657</v>
      </c>
      <c r="E31" s="14" t="s">
        <v>414</v>
      </c>
      <c r="F31" s="78" t="s">
        <v>688</v>
      </c>
      <c r="G31" s="57"/>
      <c r="H31" s="57" t="s">
        <v>687</v>
      </c>
      <c r="I31" s="57">
        <f>6.096+2</f>
        <v>8.0960000000000001</v>
      </c>
      <c r="J31" s="35" t="str">
        <f t="shared" si="16"/>
        <v>shell mass, kg</v>
      </c>
      <c r="K31" s="17">
        <f>1.15*PI()*7900*(K32+0.009)*(I31+0.8*(K32+0.009))*(0.009)</f>
        <v>2867.2059705733054</v>
      </c>
      <c r="L31" t="b">
        <f t="shared" si="8"/>
        <v>1</v>
      </c>
      <c r="M31" s="35">
        <f t="shared" si="9"/>
        <v>11600</v>
      </c>
      <c r="N31" s="35">
        <f t="shared" si="10"/>
        <v>34</v>
      </c>
      <c r="O31" s="35">
        <f t="shared" si="11"/>
        <v>0.85</v>
      </c>
      <c r="P31" s="62">
        <f t="shared" si="23"/>
        <v>41133.775925187743</v>
      </c>
      <c r="S31" s="61" t="str">
        <f t="shared" si="4"/>
        <v>STRIPPER</v>
      </c>
      <c r="T31" s="61" t="str">
        <f t="shared" si="5"/>
        <v>Vertical, cs</v>
      </c>
      <c r="U31" s="14" t="s">
        <v>415</v>
      </c>
      <c r="V31" s="14" t="s">
        <v>454</v>
      </c>
      <c r="W31" s="14">
        <v>1</v>
      </c>
      <c r="X31" s="14">
        <v>1</v>
      </c>
      <c r="Y31" s="62" cm="1">
        <f t="array" ref="Y31">IFERROR(_xlfn.XLOOKUP(S31 &amp; T31, $D$8:$D$77 &amp; $E$8:$E$77, $P$8:$P$77*W31),"")</f>
        <v>41133.775925187743</v>
      </c>
      <c r="Z31" s="35">
        <f t="shared" si="12"/>
        <v>1.7</v>
      </c>
      <c r="AA31" s="35">
        <f t="shared" si="24"/>
        <v>4</v>
      </c>
      <c r="AB31" s="62">
        <f t="shared" si="7"/>
        <v>279709.67629127664</v>
      </c>
      <c r="AE31" s="56"/>
      <c r="AG31" t="s">
        <v>470</v>
      </c>
      <c r="AH31" t="s">
        <v>466</v>
      </c>
      <c r="AI31" s="14">
        <v>0.7</v>
      </c>
      <c r="AJ31" s="14">
        <v>60</v>
      </c>
      <c r="AK31" s="14">
        <v>-23000</v>
      </c>
      <c r="AL31" s="14">
        <v>242000</v>
      </c>
      <c r="AM31" s="14">
        <v>0.4</v>
      </c>
    </row>
    <row r="32" spans="3:47" ht="15.5" thickTop="1" thickBot="1" x14ac:dyDescent="0.4">
      <c r="C32" s="60" t="s">
        <v>556</v>
      </c>
      <c r="D32" s="14" t="s">
        <v>657</v>
      </c>
      <c r="E32" s="14" t="s">
        <v>520</v>
      </c>
      <c r="F32" s="57"/>
      <c r="G32" s="57"/>
      <c r="H32" s="57"/>
      <c r="I32" s="57"/>
      <c r="J32" s="35" t="str">
        <f t="shared" si="16"/>
        <v>diameter, m</v>
      </c>
      <c r="K32" s="17">
        <v>1.2203629149999999</v>
      </c>
      <c r="L32" t="b">
        <f t="shared" si="8"/>
        <v>1</v>
      </c>
      <c r="M32" s="35">
        <f t="shared" si="9"/>
        <v>130</v>
      </c>
      <c r="N32" s="35">
        <f t="shared" si="10"/>
        <v>440</v>
      </c>
      <c r="O32" s="35">
        <f t="shared" si="11"/>
        <v>1.8</v>
      </c>
      <c r="P32" s="62">
        <f t="shared" si="13"/>
        <v>759.69881987724409</v>
      </c>
      <c r="S32" s="61" t="str">
        <f t="shared" si="4"/>
        <v>STRIPPER</v>
      </c>
      <c r="T32" s="61" t="str">
        <f t="shared" si="5"/>
        <v>Sieve trays</v>
      </c>
      <c r="U32" s="14" t="s">
        <v>415</v>
      </c>
      <c r="V32" s="14" t="s">
        <v>454</v>
      </c>
      <c r="W32" s="14">
        <v>10</v>
      </c>
      <c r="X32" s="14">
        <v>10</v>
      </c>
      <c r="Y32" s="62" cm="1">
        <f t="array" ref="Y32">IFERROR(_xlfn.XLOOKUP(S32 &amp; T32, $D$8:$D$77 &amp; $E$8:$E$77, $P$8:$P$77*W32),"")</f>
        <v>7596.9881987724411</v>
      </c>
      <c r="Z32" s="35">
        <f t="shared" si="12"/>
        <v>1.7</v>
      </c>
      <c r="AA32" s="35">
        <f t="shared" si="14"/>
        <v>4</v>
      </c>
      <c r="AB32" s="62">
        <f t="shared" si="7"/>
        <v>51659.519751652595</v>
      </c>
      <c r="AE32" s="56"/>
      <c r="AG32" s="64" t="s">
        <v>471</v>
      </c>
      <c r="AH32" s="64"/>
      <c r="AI32" s="64"/>
      <c r="AJ32" s="64"/>
      <c r="AK32" s="64"/>
      <c r="AL32" s="64"/>
      <c r="AM32" s="64"/>
    </row>
    <row r="33" spans="2:39" ht="15.5" thickTop="1" thickBot="1" x14ac:dyDescent="0.4">
      <c r="C33" s="60" t="s">
        <v>556</v>
      </c>
      <c r="D33" s="14" t="s">
        <v>660</v>
      </c>
      <c r="E33" s="14" t="s">
        <v>483</v>
      </c>
      <c r="F33" s="57">
        <f>(('Energy Integration'!G19-'Energy Integration'!K19)-('Energy Integration'!H19-'Energy Integration'!J19))/LN(('Energy Integration'!G19-'Energy Integration'!K19)/('Energy Integration'!H19-'Energy Integration'!J19))*0.97</f>
        <v>21.886544342421786</v>
      </c>
      <c r="G33" s="57">
        <v>1000</v>
      </c>
      <c r="H33" s="57" t="s">
        <v>645</v>
      </c>
      <c r="I33" s="57">
        <f>ABS('Energy Integration'!O19)</f>
        <v>434.69176999999991</v>
      </c>
      <c r="J33" s="35" t="str">
        <f t="shared" si="16"/>
        <v>area, m2</v>
      </c>
      <c r="K33" s="17">
        <f>I33*1000/(G33*F33)</f>
        <v>19.861142225063588</v>
      </c>
      <c r="L33" t="b">
        <f t="shared" si="8"/>
        <v>1</v>
      </c>
      <c r="M33" s="35">
        <f t="shared" si="9"/>
        <v>28000</v>
      </c>
      <c r="N33" s="35">
        <f t="shared" si="10"/>
        <v>54</v>
      </c>
      <c r="O33" s="35">
        <f t="shared" si="11"/>
        <v>1.2</v>
      </c>
      <c r="P33" s="62">
        <f t="shared" si="13"/>
        <v>29949.839326585596</v>
      </c>
      <c r="S33" s="61" t="str">
        <f t="shared" si="4"/>
        <v>SS-COND2</v>
      </c>
      <c r="T33" s="61" t="str">
        <f t="shared" si="5"/>
        <v>U-tube shell and tube</v>
      </c>
      <c r="U33" s="14" t="s">
        <v>433</v>
      </c>
      <c r="V33" s="14" t="s">
        <v>437</v>
      </c>
      <c r="W33" s="14">
        <v>1</v>
      </c>
      <c r="X33" s="14">
        <v>1</v>
      </c>
      <c r="Y33" s="62" cm="1">
        <f t="array" ref="Y33">IFERROR(_xlfn.XLOOKUP(S33 &amp; T33, $D$8:$D$77 &amp; $E$8:$E$77, $P$8:$P$77*W33),"")</f>
        <v>29949.839326585596</v>
      </c>
      <c r="Z33" s="35">
        <f t="shared" si="12"/>
        <v>1.3</v>
      </c>
      <c r="AA33" s="35">
        <f t="shared" si="14"/>
        <v>3.5</v>
      </c>
      <c r="AB33" s="62">
        <f t="shared" si="7"/>
        <v>136271.76893596447</v>
      </c>
      <c r="AE33" s="56"/>
      <c r="AG33" t="s">
        <v>472</v>
      </c>
      <c r="AH33" t="s">
        <v>461</v>
      </c>
      <c r="AI33" s="14">
        <v>7</v>
      </c>
      <c r="AJ33" s="14">
        <v>280</v>
      </c>
      <c r="AK33" s="14">
        <v>10000</v>
      </c>
      <c r="AL33" s="14">
        <v>13200</v>
      </c>
      <c r="AM33" s="14">
        <v>0.8</v>
      </c>
    </row>
    <row r="34" spans="2:39" ht="15.5" thickTop="1" thickBot="1" x14ac:dyDescent="0.4">
      <c r="C34" s="60" t="s">
        <v>556</v>
      </c>
      <c r="D34" s="14" t="s">
        <v>576</v>
      </c>
      <c r="E34" s="14" t="s">
        <v>484</v>
      </c>
      <c r="F34" s="57">
        <f>(('Energy Integration'!G20-'Energy Integration'!K20)-('Energy Integration'!H20-'Energy Integration'!J20))/LN(('Energy Integration'!G20-'Energy Integration'!K20)/('Energy Integration'!H20-'Energy Integration'!J20))</f>
        <v>17.148655895359163</v>
      </c>
      <c r="G34" s="57">
        <v>500</v>
      </c>
      <c r="H34" s="57" t="s">
        <v>645</v>
      </c>
      <c r="I34" s="57">
        <f>ABS('Energy Integration'!O20)</f>
        <v>2400.5794811119031</v>
      </c>
      <c r="J34" s="35" t="str">
        <f t="shared" si="16"/>
        <v>area, m2</v>
      </c>
      <c r="K34" s="17">
        <f>I34*1000/(G34*F34)</f>
        <v>279.97290233825936</v>
      </c>
      <c r="L34" t="b">
        <f t="shared" si="8"/>
        <v>1</v>
      </c>
      <c r="M34" s="35">
        <f t="shared" si="9"/>
        <v>32000</v>
      </c>
      <c r="N34" s="35">
        <f t="shared" si="10"/>
        <v>70</v>
      </c>
      <c r="O34" s="35">
        <f t="shared" si="11"/>
        <v>1.2</v>
      </c>
      <c r="P34" s="62">
        <f t="shared" si="13"/>
        <v>92483.545232432443</v>
      </c>
      <c r="S34" s="61" t="str">
        <f t="shared" si="4"/>
        <v>LS-HX4</v>
      </c>
      <c r="T34" s="61" t="str">
        <f t="shared" si="5"/>
        <v>Floating head shell and tube</v>
      </c>
      <c r="U34" s="14" t="s">
        <v>433</v>
      </c>
      <c r="V34" s="14" t="s">
        <v>416</v>
      </c>
      <c r="W34" s="14">
        <v>1</v>
      </c>
      <c r="X34" s="14">
        <v>1</v>
      </c>
      <c r="Y34" s="62" cm="1">
        <f t="array" ref="Y34">IFERROR(_xlfn.XLOOKUP(S34 &amp; T34, $D$8:$D$77 &amp; $E$8:$E$77, $P$8:$P$77*W34),"")</f>
        <v>92483.545232432443</v>
      </c>
      <c r="Z34" s="35">
        <f t="shared" si="12"/>
        <v>1</v>
      </c>
      <c r="AA34" s="35">
        <f t="shared" si="14"/>
        <v>3.5</v>
      </c>
      <c r="AB34" s="62">
        <f t="shared" si="7"/>
        <v>323692.40831351356</v>
      </c>
      <c r="AE34" s="56"/>
      <c r="AG34" s="64" t="s">
        <v>473</v>
      </c>
      <c r="AH34" s="64"/>
      <c r="AI34" s="64"/>
      <c r="AJ34" s="64"/>
      <c r="AK34" s="64"/>
      <c r="AL34" s="64"/>
      <c r="AM34" s="64"/>
    </row>
    <row r="35" spans="2:39" ht="15.5" thickTop="1" thickBot="1" x14ac:dyDescent="0.4">
      <c r="C35" s="60" t="s">
        <v>556</v>
      </c>
      <c r="D35" s="14" t="s">
        <v>667</v>
      </c>
      <c r="E35" s="14" t="s">
        <v>483</v>
      </c>
      <c r="F35" s="57">
        <f>(('Energy Integration'!G21-'Energy Integration'!K21)-('Energy Integration'!H21-'Energy Integration'!J21))/LN(('Energy Integration'!G21-'Energy Integration'!K21)/('Energy Integration'!H21-'Energy Integration'!J21))*0.92</f>
        <v>15.989873685198157</v>
      </c>
      <c r="G35" s="57">
        <v>500</v>
      </c>
      <c r="H35" s="57" t="s">
        <v>645</v>
      </c>
      <c r="I35" s="57">
        <f>ABS('Energy Integration'!O21)</f>
        <v>1329.224518888097</v>
      </c>
      <c r="J35" s="35" t="str">
        <f t="shared" si="16"/>
        <v>area, m2</v>
      </c>
      <c r="K35" s="17">
        <f t="shared" ref="K35:K37" si="25">I35*1000/(G35*F35)</f>
        <v>166.25828884671697</v>
      </c>
      <c r="L35" t="b">
        <f t="shared" si="8"/>
        <v>1</v>
      </c>
      <c r="M35" s="35">
        <f t="shared" si="9"/>
        <v>28000</v>
      </c>
      <c r="N35" s="35">
        <f t="shared" si="10"/>
        <v>54</v>
      </c>
      <c r="O35" s="35">
        <f t="shared" si="11"/>
        <v>1.2</v>
      </c>
      <c r="P35" s="62">
        <f t="shared" si="13"/>
        <v>52965.123997738912</v>
      </c>
      <c r="S35" s="61" t="str">
        <f t="shared" si="4"/>
        <v>LS-HX4-2</v>
      </c>
      <c r="T35" s="61" t="str">
        <f t="shared" si="5"/>
        <v>U-tube shell and tube</v>
      </c>
      <c r="U35" s="14" t="s">
        <v>433</v>
      </c>
      <c r="V35" s="14" t="s">
        <v>416</v>
      </c>
      <c r="W35" s="14">
        <v>1</v>
      </c>
      <c r="X35" s="14">
        <v>1</v>
      </c>
      <c r="Y35" s="62" cm="1">
        <f t="array" ref="Y35">IFERROR(_xlfn.XLOOKUP(S35 &amp; T35, $D$8:$D$77 &amp; $E$8:$E$77, $P$8:$P$77*W35),"")</f>
        <v>52965.123997738912</v>
      </c>
      <c r="Z35" s="35">
        <f t="shared" si="12"/>
        <v>1</v>
      </c>
      <c r="AA35" s="35">
        <f t="shared" si="14"/>
        <v>3.5</v>
      </c>
      <c r="AB35" s="62">
        <f t="shared" si="7"/>
        <v>185377.93399208618</v>
      </c>
      <c r="AE35" s="56"/>
      <c r="AG35" t="s">
        <v>474</v>
      </c>
      <c r="AH35" t="s">
        <v>330</v>
      </c>
      <c r="AI35" s="14">
        <v>11</v>
      </c>
      <c r="AJ35" s="14">
        <v>180</v>
      </c>
      <c r="AK35" s="14">
        <v>15000</v>
      </c>
      <c r="AL35" s="14">
        <v>10500</v>
      </c>
      <c r="AM35" s="14">
        <v>0.9</v>
      </c>
    </row>
    <row r="36" spans="2:39" ht="15.5" thickTop="1" thickBot="1" x14ac:dyDescent="0.4">
      <c r="C36" s="60" t="s">
        <v>575</v>
      </c>
      <c r="D36" s="14" t="s">
        <v>578</v>
      </c>
      <c r="E36" s="14" t="s">
        <v>484</v>
      </c>
      <c r="F36" s="57">
        <f>(('Energy Integration'!G22-'Energy Integration'!K22)-('Energy Integration'!H22-'Energy Integration'!J22))/LN(('Energy Integration'!G22-'Energy Integration'!K22)/('Energy Integration'!H22-'Energy Integration'!J22))</f>
        <v>9.8073029395230424</v>
      </c>
      <c r="G36" s="57">
        <v>400</v>
      </c>
      <c r="H36" s="57" t="s">
        <v>645</v>
      </c>
      <c r="I36" s="57">
        <f>'Energy Integration'!M22</f>
        <v>3535.59</v>
      </c>
      <c r="J36" s="35" t="str">
        <f t="shared" si="16"/>
        <v>area, m2</v>
      </c>
      <c r="K36" s="17">
        <f t="shared" si="25"/>
        <v>901.26460399008181</v>
      </c>
      <c r="L36" t="b">
        <f t="shared" si="8"/>
        <v>1</v>
      </c>
      <c r="M36" s="35">
        <f t="shared" si="9"/>
        <v>32000</v>
      </c>
      <c r="N36" s="35">
        <f t="shared" si="10"/>
        <v>70</v>
      </c>
      <c r="O36" s="35">
        <f t="shared" si="11"/>
        <v>1.2</v>
      </c>
      <c r="P36" s="62">
        <f t="shared" si="13"/>
        <v>277991.9063090859</v>
      </c>
      <c r="S36" s="61" t="str">
        <f t="shared" si="4"/>
        <v>ELRE-HX1</v>
      </c>
      <c r="T36" s="61" t="str">
        <f t="shared" si="5"/>
        <v>Floating head shell and tube</v>
      </c>
      <c r="U36" s="14" t="s">
        <v>433</v>
      </c>
      <c r="V36" s="14" t="s">
        <v>447</v>
      </c>
      <c r="W36" s="14">
        <v>1</v>
      </c>
      <c r="X36" s="14">
        <v>1</v>
      </c>
      <c r="Y36" s="62" cm="1">
        <f t="array" ref="Y36">IFERROR(_xlfn.XLOOKUP(S36 &amp; T36, $D$8:$D$77 &amp; $E$8:$E$77, $P$8:$P$77*W36),"")</f>
        <v>277991.9063090859</v>
      </c>
      <c r="Z36" s="35">
        <f t="shared" si="12"/>
        <v>1.55</v>
      </c>
      <c r="AA36" s="35">
        <f t="shared" si="14"/>
        <v>3.5</v>
      </c>
      <c r="AB36" s="62">
        <f t="shared" si="7"/>
        <v>1508106.0917267911</v>
      </c>
      <c r="AE36" s="56"/>
      <c r="AG36" t="s">
        <v>475</v>
      </c>
      <c r="AH36" t="s">
        <v>476</v>
      </c>
      <c r="AI36" s="14">
        <v>3</v>
      </c>
      <c r="AJ36" s="14">
        <v>20</v>
      </c>
      <c r="AK36" s="14">
        <v>10000</v>
      </c>
      <c r="AL36" s="14">
        <v>7900</v>
      </c>
      <c r="AM36" s="14">
        <v>0.5</v>
      </c>
    </row>
    <row r="37" spans="2:39" ht="15.5" thickTop="1" thickBot="1" x14ac:dyDescent="0.4">
      <c r="C37" s="66" t="s">
        <v>575</v>
      </c>
      <c r="D37" s="14" t="s">
        <v>580</v>
      </c>
      <c r="E37" s="14" t="s">
        <v>484</v>
      </c>
      <c r="F37" s="57">
        <v>20</v>
      </c>
      <c r="G37" s="57">
        <v>800</v>
      </c>
      <c r="H37" s="57" t="s">
        <v>645</v>
      </c>
      <c r="I37" s="57">
        <f>ABS('Energy Integration'!O23)</f>
        <v>554.94500000000005</v>
      </c>
      <c r="J37" s="35" t="str">
        <f t="shared" si="16"/>
        <v>area, m2</v>
      </c>
      <c r="K37" s="17">
        <f t="shared" si="25"/>
        <v>34.684062500000003</v>
      </c>
      <c r="L37" t="b">
        <f t="shared" si="8"/>
        <v>1</v>
      </c>
      <c r="M37" s="35">
        <f t="shared" si="9"/>
        <v>32000</v>
      </c>
      <c r="N37" s="35">
        <f t="shared" si="10"/>
        <v>70</v>
      </c>
      <c r="O37" s="35">
        <f t="shared" si="11"/>
        <v>1.2</v>
      </c>
      <c r="P37" s="62">
        <f t="shared" si="13"/>
        <v>36934.623153992863</v>
      </c>
      <c r="S37" s="61" t="str">
        <f t="shared" si="4"/>
        <v>ELRE-HX2</v>
      </c>
      <c r="T37" s="61" t="str">
        <f t="shared" si="5"/>
        <v>Floating head shell and tube</v>
      </c>
      <c r="U37" s="14" t="s">
        <v>433</v>
      </c>
      <c r="V37" s="14" t="s">
        <v>447</v>
      </c>
      <c r="W37" s="14">
        <v>1</v>
      </c>
      <c r="X37" s="14">
        <v>1</v>
      </c>
      <c r="Y37" s="62" cm="1">
        <f t="array" ref="Y37">IFERROR(_xlfn.XLOOKUP(S37 &amp; T37, $D$8:$D$77 &amp; $E$8:$E$77, $P$8:$P$77*W37),"")</f>
        <v>36934.623153992863</v>
      </c>
      <c r="Z37" s="35">
        <f t="shared" si="12"/>
        <v>1.55</v>
      </c>
      <c r="AA37" s="35">
        <f t="shared" si="14"/>
        <v>3.5</v>
      </c>
      <c r="AB37" s="62">
        <f t="shared" si="7"/>
        <v>200370.3306104113</v>
      </c>
      <c r="AE37" s="56"/>
      <c r="AG37" t="s">
        <v>477</v>
      </c>
      <c r="AH37" t="s">
        <v>478</v>
      </c>
      <c r="AI37" s="14">
        <v>400</v>
      </c>
      <c r="AJ37" s="14">
        <v>4000</v>
      </c>
      <c r="AK37" s="14">
        <v>410000</v>
      </c>
      <c r="AL37" s="14">
        <v>2200</v>
      </c>
      <c r="AM37" s="14">
        <v>0.7</v>
      </c>
    </row>
    <row r="38" spans="2:39" ht="117" thickTop="1" thickBot="1" x14ac:dyDescent="0.4">
      <c r="B38" t="str">
        <f>""</f>
        <v/>
      </c>
      <c r="C38" s="66" t="s">
        <v>575</v>
      </c>
      <c r="D38" s="14" t="s">
        <v>670</v>
      </c>
      <c r="E38" s="14" t="s">
        <v>414</v>
      </c>
      <c r="F38" s="78" t="s">
        <v>691</v>
      </c>
      <c r="G38" s="57"/>
      <c r="H38" s="57" t="s">
        <v>692</v>
      </c>
      <c r="I38" s="57">
        <v>53</v>
      </c>
      <c r="J38" s="35" t="str">
        <f t="shared" si="16"/>
        <v>shell mass, kg</v>
      </c>
      <c r="K38" s="17">
        <f>1.15*PI()*7900*(1.9+0.009)*(5.7+0.8*(1.9+0.009))*(0.009)</f>
        <v>3543.9967535932769</v>
      </c>
      <c r="L38" t="b">
        <f t="shared" si="8"/>
        <v>1</v>
      </c>
      <c r="M38" s="35">
        <f t="shared" si="9"/>
        <v>11600</v>
      </c>
      <c r="N38" s="35">
        <f t="shared" si="10"/>
        <v>34</v>
      </c>
      <c r="O38" s="35">
        <f t="shared" si="11"/>
        <v>0.85</v>
      </c>
      <c r="P38" s="62">
        <f t="shared" si="13"/>
        <v>46962.929492461604</v>
      </c>
      <c r="S38" s="61" t="str">
        <f t="shared" si="4"/>
        <v>AA-ADS1-4</v>
      </c>
      <c r="T38" s="61" t="str">
        <f t="shared" si="5"/>
        <v>Vertical, cs</v>
      </c>
      <c r="U38" s="14" t="s">
        <v>443</v>
      </c>
      <c r="V38" s="14" t="s">
        <v>447</v>
      </c>
      <c r="W38" s="14">
        <v>4</v>
      </c>
      <c r="X38" s="14">
        <v>4</v>
      </c>
      <c r="Y38" s="62" cm="1">
        <f t="array" ref="Y38">IFERROR(_xlfn.XLOOKUP(S38 &amp; T38, $D$8:$D$77 &amp; $E$8:$E$77, $P$8:$P$77*W38),"")</f>
        <v>187851.71796984642</v>
      </c>
      <c r="Z38" s="35">
        <f t="shared" si="12"/>
        <v>1.55</v>
      </c>
      <c r="AA38" s="35">
        <f t="shared" si="14"/>
        <v>4</v>
      </c>
      <c r="AB38" s="62">
        <f t="shared" si="7"/>
        <v>1164680.6514130479</v>
      </c>
      <c r="AE38" s="56"/>
      <c r="AG38" s="64" t="s">
        <v>479</v>
      </c>
      <c r="AH38" s="64"/>
      <c r="AI38" s="64"/>
      <c r="AJ38" s="64"/>
      <c r="AK38" s="64"/>
      <c r="AL38" s="64"/>
      <c r="AM38" s="64"/>
    </row>
    <row r="39" spans="2:39" ht="15.5" thickTop="1" thickBot="1" x14ac:dyDescent="0.4">
      <c r="B39" t="str">
        <f>""</f>
        <v/>
      </c>
      <c r="C39" s="66" t="s">
        <v>575</v>
      </c>
      <c r="D39" s="14" t="s">
        <v>670</v>
      </c>
      <c r="E39" s="14" t="s">
        <v>671</v>
      </c>
      <c r="F39" s="57" t="s">
        <v>686</v>
      </c>
      <c r="G39" s="57"/>
      <c r="H39" s="57"/>
      <c r="I39" s="57"/>
      <c r="J39" s="35" t="s">
        <v>685</v>
      </c>
      <c r="K39" s="17">
        <v>468</v>
      </c>
      <c r="L39" t="str">
        <f t="shared" si="8"/>
        <v/>
      </c>
      <c r="M39" s="35" t="str">
        <f t="shared" si="9"/>
        <v/>
      </c>
      <c r="N39" s="35" t="str">
        <f t="shared" si="10"/>
        <v/>
      </c>
      <c r="O39" s="35" t="str">
        <f t="shared" si="11"/>
        <v/>
      </c>
      <c r="P39" s="62">
        <f>19200*'Base operation parameters'!C16/'Base operation parameters'!C17</f>
        <v>18032.56961579133</v>
      </c>
      <c r="S39" s="61" t="str">
        <f t="shared" ref="S39:S70" si="26">IF(ISBLANK(D39),"",D39)</f>
        <v>AA-ADS1-4</v>
      </c>
      <c r="T39" s="61" t="str">
        <f t="shared" ref="T39:T70" si="27">IF(ISBLANK(E39),"",E39)</f>
        <v>Activated carbon</v>
      </c>
      <c r="U39" s="14" t="s">
        <v>440</v>
      </c>
      <c r="V39" s="14" t="s">
        <v>450</v>
      </c>
      <c r="W39" s="14">
        <v>4</v>
      </c>
      <c r="X39" s="14">
        <v>4</v>
      </c>
      <c r="Y39" s="62" cm="1">
        <f t="array" ref="Y39">IFERROR(_xlfn.XLOOKUP(S39 &amp; T39, $D$8:$D$77 &amp; $E$8:$E$77, $P$8:$P$77*W39),"")</f>
        <v>72130.278463165319</v>
      </c>
      <c r="Z39" s="35">
        <f t="shared" si="12"/>
        <v>1</v>
      </c>
      <c r="AA39" s="35">
        <f t="shared" si="14"/>
        <v>2.5</v>
      </c>
      <c r="AB39" s="62">
        <f t="shared" si="7"/>
        <v>180325.69615791331</v>
      </c>
      <c r="AE39" s="56"/>
      <c r="AG39" t="s">
        <v>480</v>
      </c>
      <c r="AH39" t="s">
        <v>476</v>
      </c>
      <c r="AI39" s="14">
        <v>11</v>
      </c>
      <c r="AJ39" s="14">
        <v>640</v>
      </c>
      <c r="AK39" s="14">
        <v>330</v>
      </c>
      <c r="AL39" s="14">
        <v>36000</v>
      </c>
      <c r="AM39" s="14">
        <v>0.55000000000000004</v>
      </c>
    </row>
    <row r="40" spans="2:39" ht="15.5" thickTop="1" thickBot="1" x14ac:dyDescent="0.4">
      <c r="B40" t="str">
        <f>""</f>
        <v/>
      </c>
      <c r="C40" s="66" t="s">
        <v>575</v>
      </c>
      <c r="D40" s="14" t="s">
        <v>585</v>
      </c>
      <c r="E40" s="14" t="s">
        <v>484</v>
      </c>
      <c r="F40" s="57">
        <f>(('Energy Integration'!G24-'Energy Integration'!K24)-('Energy Integration'!H24-'Energy Integration'!J24))/LN(('Energy Integration'!G24-'Energy Integration'!K24)/('Energy Integration'!H24-'Energy Integration'!J24))</f>
        <v>36.281598674253054</v>
      </c>
      <c r="G40" s="57">
        <v>1500</v>
      </c>
      <c r="H40" s="57" t="s">
        <v>645</v>
      </c>
      <c r="I40" s="57">
        <f>'Energy Integration'!M24</f>
        <v>1421.4490000000001</v>
      </c>
      <c r="J40" s="35" t="str">
        <f>_xlfn.IFNA(_xlfn.XLOOKUP(E40,$AG$8:$AG$82,$AH$8:$AH$82),"")</f>
        <v>area, m2</v>
      </c>
      <c r="K40" s="17">
        <f>I40*1000/(G40*F40)</f>
        <v>26.118823351054445</v>
      </c>
      <c r="L40" t="b">
        <f t="shared" ref="L40:L71" si="28">_xlfn.IFNA(AND(K40&gt;=_xlfn.XLOOKUP(E40,$AG$8:$AG$82,$AI$8:$AI$82),K40&lt;=_xlfn.XLOOKUP(E40,$AG$8:$AG$82,$AJ$8:$AJ$82)),"")</f>
        <v>1</v>
      </c>
      <c r="M40" s="35">
        <f t="shared" ref="M40:M71" si="29">_xlfn.IFNA(_xlfn.XLOOKUP(E40,$AG$8:$AG$82,$AK$8:$AK$82),"")</f>
        <v>32000</v>
      </c>
      <c r="N40" s="35">
        <f t="shared" ref="N40:N71" si="30">_xlfn.IFNA(_xlfn.XLOOKUP(E40,$AG$8:$AG$82,$AL$8:$AL$82),"")</f>
        <v>70</v>
      </c>
      <c r="O40" s="35">
        <f t="shared" ref="O40:O71" si="31">_xlfn.IFNA(_xlfn.XLOOKUP(E40,$AG$8:$AG$82,$AM$8:$AM$82),"")</f>
        <v>1.2</v>
      </c>
      <c r="P40" s="62">
        <f t="shared" si="13"/>
        <v>35511.093297548177</v>
      </c>
      <c r="S40" s="61" t="str">
        <f t="shared" si="26"/>
        <v>ELRE-HX3</v>
      </c>
      <c r="T40" s="61" t="str">
        <f t="shared" si="27"/>
        <v>Floating head shell and tube</v>
      </c>
      <c r="U40" s="14" t="s">
        <v>433</v>
      </c>
      <c r="V40" s="14" t="s">
        <v>447</v>
      </c>
      <c r="W40" s="14">
        <v>1</v>
      </c>
      <c r="X40" s="14">
        <v>1</v>
      </c>
      <c r="Y40" s="62" cm="1">
        <f t="array" ref="Y40">IFERROR(_xlfn.XLOOKUP(S40 &amp; T40, $D$8:$D$77 &amp; $E$8:$E$77, $P$8:$P$77*W40),"")</f>
        <v>35511.093297548177</v>
      </c>
      <c r="Z40" s="35">
        <f t="shared" ref="Z40:Z71" si="32">_xlfn.IFNA(_xlfn.XLOOKUP(V40,$AT$8:$AT$18,$AU$8:$AU$18),"")</f>
        <v>1.55</v>
      </c>
      <c r="AA40" s="35">
        <f t="shared" si="14"/>
        <v>3.5</v>
      </c>
      <c r="AB40" s="62">
        <f t="shared" si="7"/>
        <v>192647.68113919886</v>
      </c>
      <c r="AE40" s="56"/>
      <c r="AG40" t="s">
        <v>481</v>
      </c>
      <c r="AH40" t="s">
        <v>476</v>
      </c>
      <c r="AI40" s="14">
        <v>0.5</v>
      </c>
      <c r="AJ40" s="14">
        <v>12</v>
      </c>
      <c r="AK40" s="14">
        <v>88000</v>
      </c>
      <c r="AL40" s="14">
        <v>65500</v>
      </c>
      <c r="AM40" s="14">
        <v>0.75</v>
      </c>
    </row>
    <row r="41" spans="2:39" ht="15.5" thickTop="1" thickBot="1" x14ac:dyDescent="0.4">
      <c r="B41" t="str">
        <f>""</f>
        <v/>
      </c>
      <c r="C41" s="66" t="s">
        <v>575</v>
      </c>
      <c r="D41" s="14" t="s">
        <v>582</v>
      </c>
      <c r="E41" s="14" t="s">
        <v>480</v>
      </c>
      <c r="F41" s="57">
        <v>23</v>
      </c>
      <c r="G41" s="57">
        <v>1700</v>
      </c>
      <c r="H41" s="57" t="s">
        <v>645</v>
      </c>
      <c r="I41" s="57">
        <f>'Energy Integration'!F25/5</f>
        <v>5638.4816200000005</v>
      </c>
      <c r="J41" s="35" t="str">
        <f>_xlfn.IFNA(_xlfn.XLOOKUP(E41,$AG$8:$AG$82,$AH$8:$AH$82),"")</f>
        <v>area, m2</v>
      </c>
      <c r="K41" s="17">
        <f>I41*1000/(G41*F41)</f>
        <v>144.20669104859334</v>
      </c>
      <c r="L41" t="b">
        <f t="shared" si="28"/>
        <v>1</v>
      </c>
      <c r="M41" s="35">
        <f t="shared" si="29"/>
        <v>330</v>
      </c>
      <c r="N41" s="35">
        <f t="shared" si="30"/>
        <v>36000</v>
      </c>
      <c r="O41" s="35">
        <f t="shared" si="31"/>
        <v>0.55000000000000004</v>
      </c>
      <c r="P41" s="62">
        <f t="shared" si="13"/>
        <v>554629.48768806399</v>
      </c>
      <c r="S41" s="61" t="str">
        <f t="shared" si="26"/>
        <v>ELRE-EVA</v>
      </c>
      <c r="T41" s="61" t="str">
        <f t="shared" si="27"/>
        <v>Vertical tube</v>
      </c>
      <c r="U41" s="14" t="s">
        <v>433</v>
      </c>
      <c r="V41" s="14" t="s">
        <v>451</v>
      </c>
      <c r="W41" s="14">
        <v>5</v>
      </c>
      <c r="X41" s="14">
        <v>5</v>
      </c>
      <c r="Y41" s="62" cm="1">
        <f t="array" ref="Y41">IFERROR(_xlfn.XLOOKUP(S41 &amp; T41, $D$8:$D$77 &amp; $E$8:$E$77, $P$8:$P$77*W41),"")</f>
        <v>2773147.4384403201</v>
      </c>
      <c r="Z41" s="35">
        <f t="shared" si="32"/>
        <v>1.65</v>
      </c>
      <c r="AA41" s="35">
        <f t="shared" si="14"/>
        <v>3.5</v>
      </c>
      <c r="AB41" s="62">
        <f t="shared" si="7"/>
        <v>16014926.456992848</v>
      </c>
      <c r="AE41" s="56"/>
      <c r="AG41" s="64" t="s">
        <v>482</v>
      </c>
      <c r="AH41" s="64"/>
      <c r="AI41" s="64"/>
      <c r="AJ41" s="64"/>
      <c r="AK41" s="64"/>
      <c r="AL41" s="64"/>
      <c r="AM41" s="64"/>
    </row>
    <row r="42" spans="2:39" ht="15.5" thickTop="1" thickBot="1" x14ac:dyDescent="0.4">
      <c r="B42" t="str">
        <f>""</f>
        <v/>
      </c>
      <c r="C42" s="66" t="s">
        <v>575</v>
      </c>
      <c r="D42" s="14" t="s">
        <v>672</v>
      </c>
      <c r="E42" s="14" t="s">
        <v>484</v>
      </c>
      <c r="F42" s="57">
        <f>(('Energy Integration'!G26-'Energy Integration'!K26)-('Energy Integration'!H26-'Energy Integration'!J26))/LN(('Energy Integration'!G26-'Energy Integration'!K26)/('Energy Integration'!H26-'Energy Integration'!J26))</f>
        <v>24.449123315350267</v>
      </c>
      <c r="G42" s="57">
        <v>500</v>
      </c>
      <c r="H42" s="57" t="s">
        <v>645</v>
      </c>
      <c r="I42" s="57">
        <f>'Energy Integration'!M26</f>
        <v>1142.9970000000001</v>
      </c>
      <c r="J42" s="35" t="str">
        <f>_xlfn.IFNA(_xlfn.XLOOKUP(E42,$AG$8:$AG$82,$AH$8:$AH$82),"")</f>
        <v>area, m2</v>
      </c>
      <c r="K42" s="17">
        <f>I42*1000/(G42*F42)</f>
        <v>93.500039674827505</v>
      </c>
      <c r="L42" t="b">
        <f t="shared" si="28"/>
        <v>1</v>
      </c>
      <c r="M42" s="35">
        <f t="shared" si="29"/>
        <v>32000</v>
      </c>
      <c r="N42" s="35">
        <f t="shared" si="30"/>
        <v>70</v>
      </c>
      <c r="O42" s="35">
        <f t="shared" si="31"/>
        <v>1.2</v>
      </c>
      <c r="P42" s="62">
        <f t="shared" si="13"/>
        <v>48220.797186022952</v>
      </c>
      <c r="S42" s="61" t="str">
        <f t="shared" si="26"/>
        <v>ELRE-HX4/LS-HX3</v>
      </c>
      <c r="T42" s="61" t="str">
        <f t="shared" si="27"/>
        <v>Floating head shell and tube</v>
      </c>
      <c r="U42" s="14" t="s">
        <v>433</v>
      </c>
      <c r="V42" s="14" t="s">
        <v>447</v>
      </c>
      <c r="W42" s="14">
        <v>1</v>
      </c>
      <c r="X42" s="14">
        <v>1</v>
      </c>
      <c r="Y42" s="62" cm="1">
        <f t="array" ref="Y42">IFERROR(_xlfn.XLOOKUP(S42 &amp; T42, $D$8:$D$77 &amp; $E$8:$E$77, $P$8:$P$77*W42),"")</f>
        <v>48220.797186022952</v>
      </c>
      <c r="Z42" s="35">
        <f t="shared" si="32"/>
        <v>1.55</v>
      </c>
      <c r="AA42" s="35">
        <f t="shared" si="14"/>
        <v>3.5</v>
      </c>
      <c r="AB42" s="62">
        <f t="shared" si="7"/>
        <v>261597.82473417453</v>
      </c>
      <c r="AE42" s="56"/>
      <c r="AG42" t="s">
        <v>483</v>
      </c>
      <c r="AH42" t="s">
        <v>476</v>
      </c>
      <c r="AI42" s="14">
        <v>10</v>
      </c>
      <c r="AJ42" s="14">
        <v>1000</v>
      </c>
      <c r="AK42" s="14">
        <v>28000</v>
      </c>
      <c r="AL42" s="14">
        <v>54</v>
      </c>
      <c r="AM42" s="14">
        <v>1.2</v>
      </c>
    </row>
    <row r="43" spans="2:39" ht="15.5" thickTop="1" thickBot="1" x14ac:dyDescent="0.4">
      <c r="C43" s="66" t="s">
        <v>575</v>
      </c>
      <c r="D43" s="14" t="s">
        <v>608</v>
      </c>
      <c r="E43" s="14" t="s">
        <v>552</v>
      </c>
      <c r="F43" s="57"/>
      <c r="G43" s="57"/>
      <c r="H43" s="57"/>
      <c r="I43" s="57"/>
      <c r="J43" s="35" t="s">
        <v>476</v>
      </c>
      <c r="K43" s="17">
        <f>'KCl Elec'!C44</f>
        <v>537.83355446800556</v>
      </c>
      <c r="L43" t="str">
        <f t="shared" si="28"/>
        <v/>
      </c>
      <c r="M43" s="35" t="str">
        <f t="shared" si="29"/>
        <v/>
      </c>
      <c r="N43" s="35" t="str">
        <f t="shared" si="30"/>
        <v/>
      </c>
      <c r="O43" s="35" t="str">
        <f t="shared" si="31"/>
        <v/>
      </c>
      <c r="P43" s="62">
        <f>'KCl Elec'!N42</f>
        <v>806750.33170200838</v>
      </c>
      <c r="S43" s="61" t="str">
        <f t="shared" si="26"/>
        <v>KCL-ELEC</v>
      </c>
      <c r="T43" s="61" t="str">
        <f t="shared" si="27"/>
        <v>Electrolyzer</v>
      </c>
      <c r="U43" s="14" t="s">
        <v>440</v>
      </c>
      <c r="V43" s="14" t="s">
        <v>454</v>
      </c>
      <c r="W43" s="14">
        <v>1</v>
      </c>
      <c r="X43" s="14">
        <v>1</v>
      </c>
      <c r="Y43" s="62" cm="1">
        <f t="array" ref="Y43">IFERROR(_xlfn.XLOOKUP(S43 &amp; T43, $D$8:$D$77 &amp; $E$8:$E$77, $P$8:$P$77*W43),"")</f>
        <v>806750.33170200838</v>
      </c>
      <c r="Z43" s="35">
        <f t="shared" si="32"/>
        <v>1.7</v>
      </c>
      <c r="AA43" s="35">
        <f t="shared" si="14"/>
        <v>2.5</v>
      </c>
      <c r="AB43" s="62">
        <f t="shared" si="7"/>
        <v>3428688.9097335353</v>
      </c>
      <c r="AE43" s="56"/>
      <c r="AG43" t="s">
        <v>484</v>
      </c>
      <c r="AH43" t="s">
        <v>476</v>
      </c>
      <c r="AI43" s="14">
        <v>10</v>
      </c>
      <c r="AJ43" s="14">
        <v>1000</v>
      </c>
      <c r="AK43" s="14">
        <v>32000</v>
      </c>
      <c r="AL43" s="14">
        <v>70</v>
      </c>
      <c r="AM43" s="14">
        <v>1.2</v>
      </c>
    </row>
    <row r="44" spans="2:39" ht="15.5" thickTop="1" thickBot="1" x14ac:dyDescent="0.4">
      <c r="C44" s="66" t="s">
        <v>639</v>
      </c>
      <c r="D44" s="14" t="s">
        <v>826</v>
      </c>
      <c r="E44" s="14" t="s">
        <v>484</v>
      </c>
      <c r="F44" s="57">
        <f>(('Energy Integration'!G27-'Energy Integration'!K27)-('Energy Integration'!H27-'Energy Integration'!J27))/LN(('Energy Integration'!G27-'Energy Integration'!K27)/('Energy Integration'!H27-'Energy Integration'!J27))</f>
        <v>12.083079409860558</v>
      </c>
      <c r="G44" s="57">
        <v>600</v>
      </c>
      <c r="H44" s="57" t="s">
        <v>645</v>
      </c>
      <c r="I44" s="57">
        <f>'Energy Integration'!M27</f>
        <v>2070.8303999999998</v>
      </c>
      <c r="J44" s="35" t="str">
        <f t="shared" ref="J44:J77" si="33">_xlfn.IFNA(_xlfn.XLOOKUP(E44,$AG$8:$AG$82,$AH$8:$AH$82),"")</f>
        <v>area, m2</v>
      </c>
      <c r="K44" s="17">
        <f>I44*1000/(G44*F44)</f>
        <v>285.63778180448372</v>
      </c>
      <c r="L44" t="b">
        <f t="shared" si="28"/>
        <v>1</v>
      </c>
      <c r="M44" s="35">
        <f t="shared" si="29"/>
        <v>32000</v>
      </c>
      <c r="N44" s="35">
        <f t="shared" si="30"/>
        <v>70</v>
      </c>
      <c r="O44" s="35">
        <f t="shared" si="31"/>
        <v>1.2</v>
      </c>
      <c r="P44" s="62">
        <f t="shared" ref="P44" si="34">IFERROR(M44+N44*(K44)^O44,"")</f>
        <v>93955.065742691266</v>
      </c>
      <c r="S44" s="61" t="str">
        <f t="shared" si="26"/>
        <v>HP-EVAP/ELRE-HX5</v>
      </c>
      <c r="T44" s="61" t="str">
        <f t="shared" si="27"/>
        <v>Floating head shell and tube</v>
      </c>
      <c r="U44" s="14" t="s">
        <v>433</v>
      </c>
      <c r="V44" s="14" t="s">
        <v>454</v>
      </c>
      <c r="W44" s="14">
        <v>1</v>
      </c>
      <c r="X44" s="14">
        <v>1</v>
      </c>
      <c r="Y44" s="62" cm="1">
        <f t="array" ref="Y44">IFERROR(_xlfn.XLOOKUP(S44 &amp; T44, $D$8:$D$77 &amp; $E$8:$E$77, $P$8:$P$77*W44),"")</f>
        <v>93955.065742691266</v>
      </c>
      <c r="Z44" s="35">
        <f t="shared" si="32"/>
        <v>1.7</v>
      </c>
      <c r="AA44" s="35">
        <f t="shared" ref="AA44" si="35">_xlfn.IFNA(_xlfn.XLOOKUP(U44,$AP$8:$AP$16,$AQ$8:$AQ$16),"")</f>
        <v>3.5</v>
      </c>
      <c r="AB44" s="62">
        <f t="shared" si="7"/>
        <v>559032.64116901299</v>
      </c>
      <c r="AE44" s="56"/>
      <c r="AG44" t="s">
        <v>485</v>
      </c>
      <c r="AH44" t="s">
        <v>476</v>
      </c>
      <c r="AI44" s="14">
        <v>1</v>
      </c>
      <c r="AJ44" s="14">
        <v>80</v>
      </c>
      <c r="AK44" s="14">
        <v>1900</v>
      </c>
      <c r="AL44" s="14">
        <v>2500</v>
      </c>
      <c r="AM44" s="14">
        <v>1</v>
      </c>
    </row>
    <row r="45" spans="2:39" ht="15.5" thickTop="1" thickBot="1" x14ac:dyDescent="0.4">
      <c r="C45" s="66" t="s">
        <v>575</v>
      </c>
      <c r="D45" s="14" t="s">
        <v>677</v>
      </c>
      <c r="E45" s="14" t="s">
        <v>483</v>
      </c>
      <c r="F45" s="57">
        <f>(('Energy Integration'!G28-'Energy Integration'!K28)-('Energy Integration'!H28-'Energy Integration'!J28))/LN(('Energy Integration'!G28-'Energy Integration'!K28)/('Energy Integration'!H28-'Energy Integration'!J28))</f>
        <v>41.743767067874728</v>
      </c>
      <c r="G45" s="57">
        <v>700</v>
      </c>
      <c r="H45" s="57" t="s">
        <v>645</v>
      </c>
      <c r="I45" s="57">
        <f>ABS('Energy Integration'!O28)</f>
        <v>575.36360000000013</v>
      </c>
      <c r="J45" s="35" t="str">
        <f t="shared" si="33"/>
        <v>area, m2</v>
      </c>
      <c r="K45" s="17">
        <f>I45*1000/(G45*F45)</f>
        <v>19.690316848106335</v>
      </c>
      <c r="L45" t="b">
        <f t="shared" si="28"/>
        <v>1</v>
      </c>
      <c r="M45" s="35">
        <f t="shared" si="29"/>
        <v>28000</v>
      </c>
      <c r="N45" s="35">
        <f t="shared" si="30"/>
        <v>54</v>
      </c>
      <c r="O45" s="35">
        <f t="shared" si="31"/>
        <v>1.2</v>
      </c>
      <c r="P45" s="62">
        <f t="shared" ref="P45:P77" si="36">IFERROR(M45+N45*(K45)^O45,"")</f>
        <v>29929.732030164017</v>
      </c>
      <c r="S45" s="61" t="str">
        <f t="shared" si="26"/>
        <v>ELRE-HX5-2</v>
      </c>
      <c r="T45" s="61" t="str">
        <f t="shared" si="27"/>
        <v>U-tube shell and tube</v>
      </c>
      <c r="U45" s="14" t="s">
        <v>433</v>
      </c>
      <c r="V45" s="14" t="s">
        <v>454</v>
      </c>
      <c r="W45" s="14">
        <v>1</v>
      </c>
      <c r="X45" s="14">
        <v>1</v>
      </c>
      <c r="Y45" s="62" cm="1">
        <f t="array" ref="Y45">IFERROR(_xlfn.XLOOKUP(S45 &amp; T45, $D$8:$D$77 &amp; $E$8:$E$77, $P$8:$P$77*W45),"")</f>
        <v>29929.732030164017</v>
      </c>
      <c r="Z45" s="35">
        <f t="shared" si="32"/>
        <v>1.7</v>
      </c>
      <c r="AA45" s="35">
        <f t="shared" si="14"/>
        <v>3.5</v>
      </c>
      <c r="AB45" s="62">
        <f t="shared" si="7"/>
        <v>178081.90557947592</v>
      </c>
      <c r="AE45" s="56"/>
      <c r="AG45" t="s">
        <v>486</v>
      </c>
      <c r="AH45" t="s">
        <v>476</v>
      </c>
      <c r="AI45" s="14">
        <v>10</v>
      </c>
      <c r="AJ45" s="14">
        <v>500</v>
      </c>
      <c r="AK45" s="14">
        <v>30400</v>
      </c>
      <c r="AL45" s="14">
        <v>122</v>
      </c>
      <c r="AM45" s="14">
        <v>1.1000000000000001</v>
      </c>
    </row>
    <row r="46" spans="2:39" ht="15.5" thickTop="1" thickBot="1" x14ac:dyDescent="0.4">
      <c r="C46" s="66" t="s">
        <v>639</v>
      </c>
      <c r="D46" s="14" t="s">
        <v>816</v>
      </c>
      <c r="E46" s="14" t="s">
        <v>484</v>
      </c>
      <c r="F46" s="57">
        <f>(('Energy Integration'!G29-'Energy Integration'!K29)-('Energy Integration'!H29-'Energy Integration'!J29))/LN(('Energy Integration'!G29-'Energy Integration'!K29)/('Energy Integration'!H29-'Energy Integration'!J29))</f>
        <v>23.525962442191414</v>
      </c>
      <c r="G46" s="57">
        <v>1200</v>
      </c>
      <c r="H46" s="57" t="s">
        <v>645</v>
      </c>
      <c r="I46" s="57">
        <f>'Energy Integration'!F29</f>
        <v>1162.4449999999999</v>
      </c>
      <c r="J46" s="35" t="str">
        <f t="shared" si="33"/>
        <v>area, m2</v>
      </c>
      <c r="K46" s="17">
        <f>I46*1000/(G46*F46)</f>
        <v>41.175963323370546</v>
      </c>
      <c r="L46" t="b">
        <f t="shared" si="28"/>
        <v>1</v>
      </c>
      <c r="M46" s="35">
        <f t="shared" si="29"/>
        <v>32000</v>
      </c>
      <c r="N46" s="35">
        <f t="shared" si="30"/>
        <v>70</v>
      </c>
      <c r="O46" s="35">
        <f t="shared" si="31"/>
        <v>1.2</v>
      </c>
      <c r="P46" s="62">
        <f t="shared" si="36"/>
        <v>38062.762589231745</v>
      </c>
      <c r="S46" s="61" t="str">
        <f t="shared" si="26"/>
        <v>HP-HX1</v>
      </c>
      <c r="T46" s="61" t="str">
        <f t="shared" si="27"/>
        <v>Floating head shell and tube</v>
      </c>
      <c r="U46" s="14" t="s">
        <v>433</v>
      </c>
      <c r="V46" s="14" t="s">
        <v>416</v>
      </c>
      <c r="W46" s="14">
        <v>1</v>
      </c>
      <c r="X46" s="14">
        <v>1</v>
      </c>
      <c r="Y46" s="62" cm="1">
        <f t="array" ref="Y46">IFERROR(_xlfn.XLOOKUP(S46 &amp; T46, $D$8:$D$77 &amp; $E$8:$E$77, $P$8:$P$77*W46),"")</f>
        <v>38062.762589231745</v>
      </c>
      <c r="Z46" s="35">
        <f t="shared" si="32"/>
        <v>1</v>
      </c>
      <c r="AA46" s="35">
        <f t="shared" si="14"/>
        <v>3.5</v>
      </c>
      <c r="AB46" s="62">
        <f t="shared" si="7"/>
        <v>133219.66906231112</v>
      </c>
      <c r="AE46" s="56"/>
      <c r="AG46" t="s">
        <v>487</v>
      </c>
      <c r="AH46" t="s">
        <v>476</v>
      </c>
      <c r="AI46" s="14">
        <v>10</v>
      </c>
      <c r="AJ46" s="14">
        <v>500</v>
      </c>
      <c r="AK46" s="14">
        <v>29000</v>
      </c>
      <c r="AL46" s="14">
        <v>400</v>
      </c>
      <c r="AM46" s="14">
        <v>0.9</v>
      </c>
    </row>
    <row r="47" spans="2:39" ht="15.5" thickTop="1" thickBot="1" x14ac:dyDescent="0.4">
      <c r="C47" s="66" t="s">
        <v>639</v>
      </c>
      <c r="D47" s="14" t="s">
        <v>641</v>
      </c>
      <c r="E47" s="14" t="s">
        <v>457</v>
      </c>
      <c r="F47" s="57"/>
      <c r="G47" s="57"/>
      <c r="H47" s="57"/>
      <c r="I47" s="57"/>
      <c r="J47" s="35" t="str">
        <f t="shared" si="33"/>
        <v>driver power, kW</v>
      </c>
      <c r="K47" s="17">
        <f>'Energy Integration'!F40</f>
        <v>645.57507599999997</v>
      </c>
      <c r="L47" t="b">
        <f t="shared" si="28"/>
        <v>1</v>
      </c>
      <c r="M47" s="35">
        <f t="shared" si="29"/>
        <v>580000</v>
      </c>
      <c r="N47" s="35">
        <f t="shared" si="30"/>
        <v>20000</v>
      </c>
      <c r="O47" s="35">
        <f t="shared" si="31"/>
        <v>0.6</v>
      </c>
      <c r="P47" s="62">
        <f t="shared" si="36"/>
        <v>1550505.6066941316</v>
      </c>
      <c r="S47" s="61" t="str">
        <f t="shared" si="26"/>
        <v>ST-EV-CO</v>
      </c>
      <c r="T47" s="61" t="str">
        <f t="shared" si="27"/>
        <v>Centrifugal</v>
      </c>
      <c r="U47" s="14" t="s">
        <v>424</v>
      </c>
      <c r="V47" s="14" t="s">
        <v>416</v>
      </c>
      <c r="W47" s="14">
        <v>1</v>
      </c>
      <c r="X47" s="14">
        <v>1</v>
      </c>
      <c r="Y47" s="62" cm="1">
        <f t="array" ref="Y47">IFERROR(_xlfn.XLOOKUP(S47 &amp; T47, $D$8:$D$77 &amp; $E$8:$E$77, $P$8:$P$77*W47),"")</f>
        <v>1550505.6066941316</v>
      </c>
      <c r="Z47" s="35">
        <f t="shared" si="32"/>
        <v>1</v>
      </c>
      <c r="AA47" s="35">
        <f t="shared" si="14"/>
        <v>2.5</v>
      </c>
      <c r="AB47" s="62">
        <f t="shared" si="7"/>
        <v>3876264.0167353293</v>
      </c>
      <c r="AE47" s="56"/>
      <c r="AG47" t="s">
        <v>488</v>
      </c>
      <c r="AH47" t="s">
        <v>476</v>
      </c>
      <c r="AI47" s="14">
        <v>1</v>
      </c>
      <c r="AJ47" s="14">
        <v>500</v>
      </c>
      <c r="AK47" s="14">
        <v>1600</v>
      </c>
      <c r="AL47" s="14">
        <v>210</v>
      </c>
      <c r="AM47" s="14">
        <v>0.95</v>
      </c>
    </row>
    <row r="48" spans="2:39" ht="15.5" thickTop="1" thickBot="1" x14ac:dyDescent="0.4">
      <c r="C48" t="s">
        <v>639</v>
      </c>
      <c r="D48" s="14" t="s">
        <v>640</v>
      </c>
      <c r="E48" s="14" t="s">
        <v>458</v>
      </c>
      <c r="F48" s="57"/>
      <c r="G48" s="57"/>
      <c r="H48" s="57"/>
      <c r="I48" s="57"/>
      <c r="J48" s="35" t="str">
        <f t="shared" si="33"/>
        <v>driver power, kW</v>
      </c>
      <c r="K48" s="17">
        <f>'Energy Integration'!F41</f>
        <v>993.474828</v>
      </c>
      <c r="L48" t="b">
        <f t="shared" si="28"/>
        <v>1</v>
      </c>
      <c r="M48" s="35">
        <f t="shared" si="29"/>
        <v>260000</v>
      </c>
      <c r="N48" s="35">
        <f t="shared" si="30"/>
        <v>2700</v>
      </c>
      <c r="O48" s="35">
        <f t="shared" si="31"/>
        <v>0.75</v>
      </c>
      <c r="P48" s="62">
        <f t="shared" si="36"/>
        <v>737783.79418534087</v>
      </c>
      <c r="S48" s="61" t="str">
        <f t="shared" si="26"/>
        <v>HP-COMPR</v>
      </c>
      <c r="T48" s="61" t="str">
        <f t="shared" si="27"/>
        <v>Reciprocating</v>
      </c>
      <c r="U48" s="14" t="s">
        <v>424</v>
      </c>
      <c r="V48" s="14" t="s">
        <v>437</v>
      </c>
      <c r="W48" s="14">
        <v>1</v>
      </c>
      <c r="X48" s="14">
        <v>1</v>
      </c>
      <c r="Y48" s="62" cm="1">
        <f t="array" ref="Y48">IFERROR(_xlfn.XLOOKUP(S48 &amp; T48, $D$8:$D$77 &amp; $E$8:$E$77, $P$8:$P$77*W48),"")</f>
        <v>737783.79418534087</v>
      </c>
      <c r="Z48" s="35">
        <f t="shared" si="32"/>
        <v>1.3</v>
      </c>
      <c r="AA48" s="35">
        <f t="shared" si="14"/>
        <v>2.5</v>
      </c>
      <c r="AB48" s="62">
        <f t="shared" si="7"/>
        <v>2397797.3311023582</v>
      </c>
      <c r="AE48" s="56"/>
      <c r="AG48" s="64" t="s">
        <v>489</v>
      </c>
      <c r="AH48" s="64"/>
      <c r="AI48" s="64"/>
      <c r="AJ48" s="64"/>
      <c r="AK48" s="64"/>
      <c r="AL48" s="64"/>
      <c r="AM48" s="64"/>
    </row>
    <row r="49" spans="3:39" ht="15.5" thickTop="1" thickBot="1" x14ac:dyDescent="0.4">
      <c r="C49" t="s">
        <v>639</v>
      </c>
      <c r="D49" s="14" t="s">
        <v>684</v>
      </c>
      <c r="E49" s="14" t="s">
        <v>483</v>
      </c>
      <c r="F49" s="57">
        <f>(('Energy Integration'!G30-'Energy Integration'!K30)-('Energy Integration'!H30-'Energy Integration'!J30))/LN(('Energy Integration'!G30-'Energy Integration'!K30)/('Energy Integration'!H30-'Energy Integration'!J30))</f>
        <v>20.724541944003693</v>
      </c>
      <c r="G49" s="57">
        <v>900</v>
      </c>
      <c r="H49" s="57" t="s">
        <v>645</v>
      </c>
      <c r="I49" s="57">
        <f>'Energy Integration'!F30</f>
        <v>3044.8150000000001</v>
      </c>
      <c r="J49" s="35" t="str">
        <f t="shared" si="33"/>
        <v>area, m2</v>
      </c>
      <c r="K49" s="17">
        <f>I49*1000/(G49*F49)</f>
        <v>163.24258393351997</v>
      </c>
      <c r="L49" t="b">
        <f t="shared" si="28"/>
        <v>1</v>
      </c>
      <c r="M49" s="35">
        <f t="shared" si="29"/>
        <v>28000</v>
      </c>
      <c r="N49" s="35">
        <f t="shared" si="30"/>
        <v>54</v>
      </c>
      <c r="O49" s="35">
        <f t="shared" si="31"/>
        <v>1.2</v>
      </c>
      <c r="P49" s="62">
        <f t="shared" si="36"/>
        <v>52422.713365356802</v>
      </c>
      <c r="S49" s="61" t="str">
        <f t="shared" si="26"/>
        <v>HP-COND</v>
      </c>
      <c r="T49" s="61" t="str">
        <f t="shared" si="27"/>
        <v>U-tube shell and tube</v>
      </c>
      <c r="U49" s="14" t="s">
        <v>433</v>
      </c>
      <c r="V49" s="14" t="s">
        <v>437</v>
      </c>
      <c r="W49" s="14">
        <v>1</v>
      </c>
      <c r="X49" s="14">
        <v>1</v>
      </c>
      <c r="Y49" s="62" cm="1">
        <f t="array" ref="Y49">IFERROR(_xlfn.XLOOKUP(S49 &amp; T49, $D$8:$D$77 &amp; $E$8:$E$77, $P$8:$P$77*W49),"")</f>
        <v>52422.713365356802</v>
      </c>
      <c r="Z49" s="35">
        <f t="shared" si="32"/>
        <v>1.3</v>
      </c>
      <c r="AA49" s="35">
        <f t="shared" si="14"/>
        <v>3.5</v>
      </c>
      <c r="AB49" s="62">
        <f t="shared" si="7"/>
        <v>238523.34581237345</v>
      </c>
      <c r="AE49" s="56"/>
      <c r="AG49" t="s">
        <v>488</v>
      </c>
      <c r="AH49" t="s">
        <v>490</v>
      </c>
      <c r="AI49" s="14">
        <v>0.4</v>
      </c>
      <c r="AJ49" s="14">
        <v>1.4</v>
      </c>
      <c r="AK49" s="14">
        <v>128000</v>
      </c>
      <c r="AL49" s="14">
        <v>89000</v>
      </c>
      <c r="AM49" s="14">
        <v>0.5</v>
      </c>
    </row>
    <row r="50" spans="3:39" ht="15.5" thickTop="1" thickBot="1" x14ac:dyDescent="0.4">
      <c r="D50" s="14"/>
      <c r="E50" s="14"/>
      <c r="F50" s="57"/>
      <c r="G50" s="57"/>
      <c r="H50" s="57"/>
      <c r="I50" s="57"/>
      <c r="J50" s="35" t="str">
        <f t="shared" si="33"/>
        <v/>
      </c>
      <c r="K50" s="14"/>
      <c r="L50" t="str">
        <f t="shared" si="28"/>
        <v/>
      </c>
      <c r="M50" s="35" t="str">
        <f t="shared" si="29"/>
        <v/>
      </c>
      <c r="N50" s="35" t="str">
        <f t="shared" si="30"/>
        <v/>
      </c>
      <c r="O50" s="35" t="str">
        <f t="shared" si="31"/>
        <v/>
      </c>
      <c r="P50" s="35" t="str">
        <f t="shared" si="36"/>
        <v/>
      </c>
      <c r="S50" s="61" t="str">
        <f t="shared" si="26"/>
        <v/>
      </c>
      <c r="T50" s="61" t="str">
        <f t="shared" si="27"/>
        <v/>
      </c>
      <c r="U50" s="14"/>
      <c r="V50" s="14"/>
      <c r="W50" s="14"/>
      <c r="X50" s="14"/>
      <c r="Y50" s="62">
        <f ca="1">SUM(Y7:Y49)-SUM(Y12:Y13,Y43)</f>
        <v>17919482.692064255</v>
      </c>
      <c r="Z50" s="35" t="str">
        <f t="shared" si="32"/>
        <v/>
      </c>
      <c r="AA50" s="35" t="s">
        <v>710</v>
      </c>
      <c r="AB50" s="62">
        <f ca="1">SUM(AB7:AB49)-SUM(AB12:AB13,AB43)</f>
        <v>80214805.029845268</v>
      </c>
      <c r="AE50" s="56"/>
      <c r="AG50" t="s">
        <v>491</v>
      </c>
      <c r="AH50" t="s">
        <v>476</v>
      </c>
      <c r="AI50" s="14">
        <v>10</v>
      </c>
      <c r="AJ50" s="14">
        <v>180</v>
      </c>
      <c r="AK50" s="14">
        <v>-73000</v>
      </c>
      <c r="AL50" s="14">
        <v>93000</v>
      </c>
      <c r="AM50" s="14">
        <v>0.3</v>
      </c>
    </row>
    <row r="51" spans="3:39" ht="15.5" thickTop="1" thickBot="1" x14ac:dyDescent="0.4">
      <c r="D51" s="14"/>
      <c r="E51" s="14"/>
      <c r="F51" s="57"/>
      <c r="G51" s="57"/>
      <c r="H51" s="57"/>
      <c r="I51" s="57"/>
      <c r="J51" s="35" t="str">
        <f t="shared" si="33"/>
        <v/>
      </c>
      <c r="K51" s="14"/>
      <c r="L51" t="str">
        <f t="shared" si="28"/>
        <v/>
      </c>
      <c r="M51" s="35" t="str">
        <f t="shared" si="29"/>
        <v/>
      </c>
      <c r="N51" s="35" t="str">
        <f t="shared" si="30"/>
        <v/>
      </c>
      <c r="O51" s="35" t="str">
        <f t="shared" si="31"/>
        <v/>
      </c>
      <c r="P51" s="35" t="str">
        <f t="shared" si="36"/>
        <v/>
      </c>
      <c r="S51" s="61" t="str">
        <f t="shared" si="26"/>
        <v/>
      </c>
      <c r="T51" s="61" t="str">
        <f t="shared" si="27"/>
        <v/>
      </c>
      <c r="U51" s="14"/>
      <c r="V51" s="14"/>
      <c r="W51" s="14"/>
      <c r="X51" s="14"/>
      <c r="Y51" s="62">
        <f ca="1">SUM(Y7:Y49)</f>
        <v>63649512.316518545</v>
      </c>
      <c r="Z51" s="35" t="str">
        <f t="shared" si="32"/>
        <v/>
      </c>
      <c r="AA51" s="35" t="s">
        <v>711</v>
      </c>
      <c r="AB51" s="62">
        <f ca="1">SUM(AB7:AB49)</f>
        <v>258126411.6608462</v>
      </c>
      <c r="AE51" s="56"/>
      <c r="AG51" s="64" t="s">
        <v>492</v>
      </c>
      <c r="AH51" s="64"/>
      <c r="AI51" s="64"/>
      <c r="AJ51" s="64"/>
      <c r="AK51" s="64"/>
      <c r="AL51" s="64"/>
      <c r="AM51" s="64"/>
    </row>
    <row r="52" spans="3:39" ht="15.5" thickTop="1" thickBot="1" x14ac:dyDescent="0.4">
      <c r="D52" s="14"/>
      <c r="E52" s="14"/>
      <c r="F52" s="57"/>
      <c r="G52" s="57"/>
      <c r="H52" s="57"/>
      <c r="I52" s="57"/>
      <c r="J52" s="35" t="str">
        <f t="shared" si="33"/>
        <v/>
      </c>
      <c r="K52" s="14"/>
      <c r="L52" t="str">
        <f t="shared" si="28"/>
        <v/>
      </c>
      <c r="M52" s="35" t="str">
        <f t="shared" si="29"/>
        <v/>
      </c>
      <c r="N52" s="35" t="str">
        <f t="shared" si="30"/>
        <v/>
      </c>
      <c r="O52" s="35" t="str">
        <f t="shared" si="31"/>
        <v/>
      </c>
      <c r="P52" s="35" t="str">
        <f t="shared" si="36"/>
        <v/>
      </c>
      <c r="S52" s="61" t="str">
        <f t="shared" si="26"/>
        <v/>
      </c>
      <c r="T52" s="61" t="str">
        <f t="shared" si="27"/>
        <v/>
      </c>
      <c r="U52" s="14"/>
      <c r="V52" s="14"/>
      <c r="W52" s="14"/>
      <c r="X52" s="14"/>
      <c r="Y52" s="62" t="str" cm="1">
        <f t="array" ref="Y52">IFERROR(_xlfn.XLOOKUP(S52 &amp; T52, $D$8:$D$77 &amp; $E$8:$E$77, $P$8:$P$77*W52),"")</f>
        <v/>
      </c>
      <c r="Z52" s="35" t="str">
        <f t="shared" si="32"/>
        <v/>
      </c>
      <c r="AA52" s="35" t="str">
        <f t="shared" si="14"/>
        <v/>
      </c>
      <c r="AB52" s="62" t="str">
        <f t="shared" ref="AB52:AB77" si="37">IFERROR(X52*Z52*P52*AA52,"")</f>
        <v/>
      </c>
      <c r="AE52" s="56"/>
      <c r="AG52" t="s">
        <v>493</v>
      </c>
      <c r="AH52" t="s">
        <v>494</v>
      </c>
      <c r="AI52" s="14">
        <v>0.2</v>
      </c>
      <c r="AJ52" s="14">
        <v>60</v>
      </c>
      <c r="AK52" s="14">
        <v>80000</v>
      </c>
      <c r="AL52" s="14">
        <v>109000</v>
      </c>
      <c r="AM52" s="14">
        <v>0.8</v>
      </c>
    </row>
    <row r="53" spans="3:39" ht="15.5" thickTop="1" thickBot="1" x14ac:dyDescent="0.4">
      <c r="D53" s="14"/>
      <c r="E53" s="14"/>
      <c r="F53" s="57"/>
      <c r="G53" s="57"/>
      <c r="H53" s="57"/>
      <c r="I53" s="57"/>
      <c r="J53" s="35" t="str">
        <f t="shared" si="33"/>
        <v/>
      </c>
      <c r="K53" s="14"/>
      <c r="L53" t="str">
        <f t="shared" si="28"/>
        <v/>
      </c>
      <c r="M53" s="35" t="str">
        <f t="shared" si="29"/>
        <v/>
      </c>
      <c r="N53" s="35" t="str">
        <f t="shared" si="30"/>
        <v/>
      </c>
      <c r="O53" s="35" t="str">
        <f t="shared" si="31"/>
        <v/>
      </c>
      <c r="P53" s="35" t="str">
        <f t="shared" si="36"/>
        <v/>
      </c>
      <c r="S53" s="61" t="str">
        <f t="shared" si="26"/>
        <v/>
      </c>
      <c r="T53" s="61" t="str">
        <f t="shared" si="27"/>
        <v/>
      </c>
      <c r="U53" s="14"/>
      <c r="V53" s="14"/>
      <c r="W53" s="14"/>
      <c r="X53" s="14"/>
      <c r="Y53" s="62" t="str" cm="1">
        <f t="array" ref="Y53">IFERROR(_xlfn.XLOOKUP(S53 &amp; T53, $D$8:$D$77 &amp; $E$8:$E$77, $P$8:$P$77*W53),"")</f>
        <v/>
      </c>
      <c r="Z53" s="35" t="str">
        <f t="shared" si="32"/>
        <v/>
      </c>
      <c r="AA53" s="35" t="str">
        <f t="shared" si="14"/>
        <v/>
      </c>
      <c r="AB53" s="62" t="str">
        <f t="shared" si="37"/>
        <v/>
      </c>
      <c r="AE53" s="56"/>
      <c r="AG53" t="s">
        <v>495</v>
      </c>
      <c r="AH53" t="s">
        <v>494</v>
      </c>
      <c r="AI53" s="14">
        <v>30</v>
      </c>
      <c r="AJ53" s="14">
        <v>120</v>
      </c>
      <c r="AK53" s="14">
        <v>43000</v>
      </c>
      <c r="AL53" s="14">
        <v>111000</v>
      </c>
      <c r="AM53" s="14">
        <v>0.8</v>
      </c>
    </row>
    <row r="54" spans="3:39" ht="44.5" thickTop="1" thickBot="1" x14ac:dyDescent="0.4">
      <c r="D54" s="14"/>
      <c r="E54" s="14"/>
      <c r="F54" s="57"/>
      <c r="G54" s="57"/>
      <c r="H54" s="57"/>
      <c r="I54" s="57"/>
      <c r="J54" s="35" t="str">
        <f t="shared" si="33"/>
        <v/>
      </c>
      <c r="K54" s="14"/>
      <c r="L54" t="str">
        <f t="shared" si="28"/>
        <v/>
      </c>
      <c r="M54" s="35" t="str">
        <f t="shared" si="29"/>
        <v/>
      </c>
      <c r="N54" s="35" t="str">
        <f t="shared" si="30"/>
        <v/>
      </c>
      <c r="O54" s="35" t="str">
        <f t="shared" si="31"/>
        <v/>
      </c>
      <c r="P54" s="35" t="str">
        <f t="shared" si="36"/>
        <v/>
      </c>
      <c r="S54" s="61" t="str">
        <f t="shared" si="26"/>
        <v/>
      </c>
      <c r="T54" s="61" t="str">
        <f t="shared" si="27"/>
        <v/>
      </c>
      <c r="U54" s="14"/>
      <c r="V54" s="14"/>
      <c r="W54" s="14"/>
      <c r="X54" s="14"/>
      <c r="Y54" s="109" t="s">
        <v>773</v>
      </c>
      <c r="Z54" s="35" t="str">
        <f t="shared" si="32"/>
        <v/>
      </c>
      <c r="AA54" s="35" t="str">
        <f t="shared" si="14"/>
        <v/>
      </c>
      <c r="AB54" s="62" t="str">
        <f t="shared" si="37"/>
        <v/>
      </c>
      <c r="AE54" s="56"/>
      <c r="AG54" s="64" t="s">
        <v>496</v>
      </c>
      <c r="AH54" s="64"/>
      <c r="AI54" s="64"/>
      <c r="AJ54" s="64"/>
      <c r="AK54" s="64"/>
      <c r="AL54" s="64"/>
      <c r="AM54" s="64"/>
    </row>
    <row r="55" spans="3:39" ht="15.5" thickTop="1" thickBot="1" x14ac:dyDescent="0.4">
      <c r="D55" s="14"/>
      <c r="E55" s="14"/>
      <c r="F55" s="57"/>
      <c r="G55" s="57"/>
      <c r="H55" s="57"/>
      <c r="I55" s="57"/>
      <c r="J55" s="35" t="str">
        <f t="shared" si="33"/>
        <v/>
      </c>
      <c r="K55" s="14"/>
      <c r="L55" t="str">
        <f t="shared" si="28"/>
        <v/>
      </c>
      <c r="M55" s="35" t="str">
        <f t="shared" si="29"/>
        <v/>
      </c>
      <c r="N55" s="35" t="str">
        <f t="shared" si="30"/>
        <v/>
      </c>
      <c r="O55" s="35" t="str">
        <f t="shared" si="31"/>
        <v/>
      </c>
      <c r="P55" s="35" t="str">
        <f t="shared" si="36"/>
        <v/>
      </c>
      <c r="S55" s="61" t="str">
        <f t="shared" si="26"/>
        <v/>
      </c>
      <c r="T55" s="61" t="str">
        <f t="shared" si="27"/>
        <v/>
      </c>
      <c r="U55" s="14"/>
      <c r="V55" s="14"/>
      <c r="W55" s="14"/>
      <c r="X55" s="14"/>
      <c r="Y55" s="62">
        <v>211023747.69578502</v>
      </c>
      <c r="Z55" s="35" t="str">
        <f t="shared" si="32"/>
        <v/>
      </c>
      <c r="AA55" s="35" t="str">
        <f t="shared" si="14"/>
        <v/>
      </c>
      <c r="AB55" s="62" t="str">
        <f t="shared" si="37"/>
        <v/>
      </c>
      <c r="AE55" s="56"/>
      <c r="AG55" t="s">
        <v>497</v>
      </c>
      <c r="AH55" t="s">
        <v>498</v>
      </c>
      <c r="AK55" s="14">
        <v>0</v>
      </c>
      <c r="AL55" s="14">
        <v>8000</v>
      </c>
      <c r="AM55" s="14">
        <v>1</v>
      </c>
    </row>
    <row r="56" spans="3:39" ht="15.5" thickTop="1" thickBot="1" x14ac:dyDescent="0.4">
      <c r="D56" s="14"/>
      <c r="E56" s="14"/>
      <c r="F56" s="57"/>
      <c r="G56" s="57"/>
      <c r="H56" s="57"/>
      <c r="I56" s="57"/>
      <c r="J56" s="35" t="str">
        <f t="shared" si="33"/>
        <v/>
      </c>
      <c r="K56" s="14"/>
      <c r="L56" t="str">
        <f t="shared" si="28"/>
        <v/>
      </c>
      <c r="M56" s="35" t="str">
        <f t="shared" si="29"/>
        <v/>
      </c>
      <c r="N56" s="35" t="str">
        <f t="shared" si="30"/>
        <v/>
      </c>
      <c r="O56" s="35" t="str">
        <f t="shared" si="31"/>
        <v/>
      </c>
      <c r="P56" s="35" t="str">
        <f t="shared" si="36"/>
        <v/>
      </c>
      <c r="S56" s="61" t="str">
        <f t="shared" si="26"/>
        <v/>
      </c>
      <c r="T56" s="61" t="str">
        <f t="shared" si="27"/>
        <v/>
      </c>
      <c r="U56" s="14"/>
      <c r="V56" s="14"/>
      <c r="W56" s="14"/>
      <c r="X56" s="14"/>
      <c r="Y56" s="62" t="str" cm="1">
        <f t="array" ref="Y56">IFERROR(_xlfn.XLOOKUP(S56 &amp; T56, $D$8:$D$77 &amp; $E$8:$E$77, $P$8:$P$77*W56),"")</f>
        <v/>
      </c>
      <c r="Z56" s="35" t="str">
        <f t="shared" si="32"/>
        <v/>
      </c>
      <c r="AA56" s="35" t="str">
        <f t="shared" si="14"/>
        <v/>
      </c>
      <c r="AB56" s="62" t="str">
        <f t="shared" si="37"/>
        <v/>
      </c>
      <c r="AE56" s="56"/>
      <c r="AG56" t="s">
        <v>499</v>
      </c>
      <c r="AH56" t="s">
        <v>498</v>
      </c>
      <c r="AK56" s="14">
        <v>0</v>
      </c>
      <c r="AL56" s="14">
        <v>2000</v>
      </c>
      <c r="AM56" s="14">
        <v>1</v>
      </c>
    </row>
    <row r="57" spans="3:39" ht="15.5" thickTop="1" thickBot="1" x14ac:dyDescent="0.4">
      <c r="D57" s="14"/>
      <c r="E57" s="14"/>
      <c r="F57" s="57"/>
      <c r="G57" s="57"/>
      <c r="H57" s="57"/>
      <c r="I57" s="57"/>
      <c r="J57" s="35" t="str">
        <f t="shared" si="33"/>
        <v/>
      </c>
      <c r="K57" s="14"/>
      <c r="L57" t="str">
        <f t="shared" si="28"/>
        <v/>
      </c>
      <c r="M57" s="35" t="str">
        <f t="shared" si="29"/>
        <v/>
      </c>
      <c r="N57" s="35" t="str">
        <f t="shared" si="30"/>
        <v/>
      </c>
      <c r="O57" s="35" t="str">
        <f t="shared" si="31"/>
        <v/>
      </c>
      <c r="P57" s="35" t="str">
        <f t="shared" si="36"/>
        <v/>
      </c>
      <c r="S57" s="61" t="str">
        <f t="shared" si="26"/>
        <v/>
      </c>
      <c r="T57" s="61" t="str">
        <f t="shared" si="27"/>
        <v/>
      </c>
      <c r="U57" s="14"/>
      <c r="V57" s="14"/>
      <c r="W57" s="14"/>
      <c r="X57" s="14"/>
      <c r="Y57" s="62"/>
      <c r="Z57" s="35" t="str">
        <f t="shared" si="32"/>
        <v/>
      </c>
      <c r="AA57" s="35" t="str">
        <f t="shared" si="14"/>
        <v/>
      </c>
      <c r="AB57" s="62" t="str">
        <f t="shared" si="37"/>
        <v/>
      </c>
      <c r="AE57" s="56"/>
      <c r="AG57" t="s">
        <v>500</v>
      </c>
      <c r="AH57" t="s">
        <v>498</v>
      </c>
      <c r="AK57" s="14">
        <v>0</v>
      </c>
      <c r="AL57" s="14">
        <v>8500</v>
      </c>
      <c r="AM57" s="14">
        <v>1</v>
      </c>
    </row>
    <row r="58" spans="3:39" ht="15.5" thickTop="1" thickBot="1" x14ac:dyDescent="0.4">
      <c r="D58" s="14"/>
      <c r="E58" s="14"/>
      <c r="F58" s="57"/>
      <c r="G58" s="57"/>
      <c r="H58" s="57"/>
      <c r="I58" s="57"/>
      <c r="J58" s="35" t="str">
        <f t="shared" si="33"/>
        <v/>
      </c>
      <c r="K58" s="14"/>
      <c r="L58" t="str">
        <f t="shared" si="28"/>
        <v/>
      </c>
      <c r="M58" s="35" t="str">
        <f t="shared" si="29"/>
        <v/>
      </c>
      <c r="N58" s="35" t="str">
        <f t="shared" si="30"/>
        <v/>
      </c>
      <c r="O58" s="35" t="str">
        <f t="shared" si="31"/>
        <v/>
      </c>
      <c r="P58" s="35" t="str">
        <f t="shared" si="36"/>
        <v/>
      </c>
      <c r="S58" s="61" t="str">
        <f t="shared" si="26"/>
        <v/>
      </c>
      <c r="T58" s="61" t="str">
        <f t="shared" si="27"/>
        <v/>
      </c>
      <c r="U58" s="14"/>
      <c r="V58" s="14"/>
      <c r="W58" s="14"/>
      <c r="X58" s="14"/>
      <c r="Y58" s="62"/>
      <c r="Z58" s="35" t="str">
        <f t="shared" si="32"/>
        <v/>
      </c>
      <c r="AA58" s="35" t="str">
        <f t="shared" si="14"/>
        <v/>
      </c>
      <c r="AB58" s="62" t="str">
        <f t="shared" si="37"/>
        <v/>
      </c>
      <c r="AE58" s="56"/>
      <c r="AG58" t="s">
        <v>501</v>
      </c>
      <c r="AH58" t="s">
        <v>498</v>
      </c>
      <c r="AK58" s="14">
        <v>0</v>
      </c>
      <c r="AL58" s="14">
        <v>5500</v>
      </c>
      <c r="AM58" s="14">
        <v>1</v>
      </c>
    </row>
    <row r="59" spans="3:39" ht="15.5" thickTop="1" thickBot="1" x14ac:dyDescent="0.4">
      <c r="D59" s="14"/>
      <c r="E59" s="14"/>
      <c r="F59" s="57"/>
      <c r="G59" s="57"/>
      <c r="H59" s="57"/>
      <c r="I59" s="57"/>
      <c r="J59" s="35" t="str">
        <f t="shared" si="33"/>
        <v/>
      </c>
      <c r="K59" s="14"/>
      <c r="L59" t="str">
        <f t="shared" si="28"/>
        <v/>
      </c>
      <c r="M59" s="35" t="str">
        <f t="shared" si="29"/>
        <v/>
      </c>
      <c r="N59" s="35" t="str">
        <f t="shared" si="30"/>
        <v/>
      </c>
      <c r="O59" s="35" t="str">
        <f t="shared" si="31"/>
        <v/>
      </c>
      <c r="P59" s="35" t="str">
        <f t="shared" si="36"/>
        <v/>
      </c>
      <c r="S59" s="61" t="str">
        <f t="shared" si="26"/>
        <v/>
      </c>
      <c r="T59" s="61" t="str">
        <f t="shared" si="27"/>
        <v/>
      </c>
      <c r="U59" s="14"/>
      <c r="V59" s="14"/>
      <c r="W59" s="14"/>
      <c r="X59" s="14"/>
      <c r="Y59" s="62" t="str" cm="1">
        <f t="array" ref="Y59">IFERROR(_xlfn.XLOOKUP(S59 &amp; T59, $D$8:$D$77 &amp; $E$8:$E$77, $P$8:$P$77*W59),"")</f>
        <v/>
      </c>
      <c r="Z59" s="35" t="str">
        <f t="shared" si="32"/>
        <v/>
      </c>
      <c r="AA59" s="35" t="str">
        <f t="shared" si="14"/>
        <v/>
      </c>
      <c r="AB59" s="62" t="str">
        <f t="shared" si="37"/>
        <v/>
      </c>
      <c r="AE59" s="56"/>
      <c r="AG59" t="s">
        <v>502</v>
      </c>
      <c r="AH59" t="s">
        <v>498</v>
      </c>
      <c r="AK59" s="14">
        <v>0</v>
      </c>
      <c r="AL59" s="14">
        <v>7600</v>
      </c>
      <c r="AM59" s="14">
        <v>1</v>
      </c>
    </row>
    <row r="60" spans="3:39" ht="15.5" thickTop="1" thickBot="1" x14ac:dyDescent="0.4">
      <c r="D60" s="14"/>
      <c r="E60" s="14"/>
      <c r="F60" s="57"/>
      <c r="G60" s="57"/>
      <c r="H60" s="57"/>
      <c r="I60" s="57"/>
      <c r="J60" s="35" t="str">
        <f t="shared" si="33"/>
        <v/>
      </c>
      <c r="K60" s="14"/>
      <c r="L60" t="str">
        <f t="shared" si="28"/>
        <v/>
      </c>
      <c r="M60" s="35" t="str">
        <f t="shared" si="29"/>
        <v/>
      </c>
      <c r="N60" s="35" t="str">
        <f t="shared" si="30"/>
        <v/>
      </c>
      <c r="O60" s="35" t="str">
        <f t="shared" si="31"/>
        <v/>
      </c>
      <c r="P60" s="35" t="str">
        <f t="shared" si="36"/>
        <v/>
      </c>
      <c r="S60" s="61" t="str">
        <f t="shared" si="26"/>
        <v/>
      </c>
      <c r="T60" s="61" t="str">
        <f t="shared" si="27"/>
        <v/>
      </c>
      <c r="U60" s="14"/>
      <c r="V60" s="14"/>
      <c r="W60" s="14"/>
      <c r="X60" s="14"/>
      <c r="Y60" s="62" t="str" cm="1">
        <f t="array" ref="Y60">IFERROR(_xlfn.XLOOKUP(S60 &amp; T60, $D$8:$D$77 &amp; $E$8:$E$77, $P$8:$P$77*W60),"")</f>
        <v/>
      </c>
      <c r="Z60" s="35" t="str">
        <f t="shared" si="32"/>
        <v/>
      </c>
      <c r="AA60" s="35" t="str">
        <f t="shared" si="14"/>
        <v/>
      </c>
      <c r="AB60" s="62" t="str">
        <f t="shared" si="37"/>
        <v/>
      </c>
      <c r="AE60" s="56"/>
      <c r="AG60" s="64" t="s">
        <v>443</v>
      </c>
      <c r="AH60" s="64"/>
      <c r="AI60" s="64"/>
      <c r="AJ60" s="64"/>
      <c r="AK60" s="64"/>
      <c r="AL60" s="64"/>
      <c r="AM60" s="64"/>
    </row>
    <row r="61" spans="3:39" ht="15.5" thickTop="1" thickBot="1" x14ac:dyDescent="0.4">
      <c r="D61" s="14"/>
      <c r="E61" s="14"/>
      <c r="F61" s="57"/>
      <c r="G61" s="57"/>
      <c r="H61" s="57"/>
      <c r="I61" s="57"/>
      <c r="J61" s="35" t="str">
        <f t="shared" si="33"/>
        <v/>
      </c>
      <c r="K61" s="14"/>
      <c r="L61" t="str">
        <f t="shared" si="28"/>
        <v/>
      </c>
      <c r="M61" s="35" t="str">
        <f t="shared" si="29"/>
        <v/>
      </c>
      <c r="N61" s="35" t="str">
        <f t="shared" si="30"/>
        <v/>
      </c>
      <c r="O61" s="35" t="str">
        <f t="shared" si="31"/>
        <v/>
      </c>
      <c r="P61" s="35" t="str">
        <f t="shared" si="36"/>
        <v/>
      </c>
      <c r="S61" s="61" t="str">
        <f t="shared" si="26"/>
        <v/>
      </c>
      <c r="T61" s="61" t="str">
        <f t="shared" si="27"/>
        <v/>
      </c>
      <c r="U61" s="14"/>
      <c r="V61" s="14"/>
      <c r="W61" s="14"/>
      <c r="X61" s="14"/>
      <c r="Y61" s="62" t="str" cm="1">
        <f t="array" ref="Y61">IFERROR(_xlfn.XLOOKUP(S61 &amp; T61, $D$8:$D$77 &amp; $E$8:$E$77, $P$8:$P$77*W61),"")</f>
        <v/>
      </c>
      <c r="Z61" s="35" t="str">
        <f t="shared" si="32"/>
        <v/>
      </c>
      <c r="AA61" s="35" t="str">
        <f t="shared" si="14"/>
        <v/>
      </c>
      <c r="AB61" s="62" t="str">
        <f t="shared" si="37"/>
        <v/>
      </c>
      <c r="AE61" s="56"/>
      <c r="AG61" t="s">
        <v>414</v>
      </c>
      <c r="AH61" t="s">
        <v>503</v>
      </c>
      <c r="AI61" s="14">
        <v>160</v>
      </c>
      <c r="AJ61" s="14">
        <v>250000</v>
      </c>
      <c r="AK61" s="14">
        <v>11600</v>
      </c>
      <c r="AL61" s="14">
        <v>34</v>
      </c>
      <c r="AM61" s="14">
        <v>0.85</v>
      </c>
    </row>
    <row r="62" spans="3:39" ht="15.5" thickTop="1" thickBot="1" x14ac:dyDescent="0.4">
      <c r="D62" s="14"/>
      <c r="E62" s="14"/>
      <c r="F62" s="57"/>
      <c r="G62" s="57"/>
      <c r="H62" s="57"/>
      <c r="I62" s="57"/>
      <c r="J62" s="35" t="str">
        <f t="shared" si="33"/>
        <v/>
      </c>
      <c r="K62" s="14"/>
      <c r="L62" t="str">
        <f t="shared" si="28"/>
        <v/>
      </c>
      <c r="M62" s="35" t="str">
        <f t="shared" si="29"/>
        <v/>
      </c>
      <c r="N62" s="35" t="str">
        <f t="shared" si="30"/>
        <v/>
      </c>
      <c r="O62" s="35" t="str">
        <f t="shared" si="31"/>
        <v/>
      </c>
      <c r="P62" s="35" t="str">
        <f t="shared" si="36"/>
        <v/>
      </c>
      <c r="S62" s="61" t="str">
        <f t="shared" si="26"/>
        <v/>
      </c>
      <c r="T62" s="61" t="str">
        <f t="shared" si="27"/>
        <v/>
      </c>
      <c r="U62" s="14"/>
      <c r="V62" s="14"/>
      <c r="W62" s="14"/>
      <c r="X62" s="14"/>
      <c r="Y62" s="62" t="str" cm="1">
        <f t="array" ref="Y62">IFERROR(_xlfn.XLOOKUP(S62 &amp; T62, $D$8:$D$77 &amp; $E$8:$E$77, $P$8:$P$77*W62),"")</f>
        <v/>
      </c>
      <c r="Z62" s="35" t="str">
        <f t="shared" si="32"/>
        <v/>
      </c>
      <c r="AA62" s="35" t="str">
        <f t="shared" si="14"/>
        <v/>
      </c>
      <c r="AB62" s="62" t="str">
        <f t="shared" si="37"/>
        <v/>
      </c>
      <c r="AE62" s="56"/>
      <c r="AG62" t="s">
        <v>504</v>
      </c>
      <c r="AH62" t="s">
        <v>503</v>
      </c>
      <c r="AI62" s="14">
        <v>160</v>
      </c>
      <c r="AJ62" s="14">
        <v>50000</v>
      </c>
      <c r="AK62" s="14">
        <v>10200</v>
      </c>
      <c r="AL62" s="14">
        <v>31</v>
      </c>
      <c r="AM62" s="14">
        <v>0.85</v>
      </c>
    </row>
    <row r="63" spans="3:39" ht="15.5" thickTop="1" thickBot="1" x14ac:dyDescent="0.4">
      <c r="D63" s="14"/>
      <c r="E63" s="14"/>
      <c r="F63" s="57"/>
      <c r="G63" s="57"/>
      <c r="H63" s="57"/>
      <c r="I63" s="57"/>
      <c r="J63" s="35" t="str">
        <f t="shared" si="33"/>
        <v/>
      </c>
      <c r="K63" s="14"/>
      <c r="L63" t="str">
        <f t="shared" si="28"/>
        <v/>
      </c>
      <c r="M63" s="35" t="str">
        <f t="shared" si="29"/>
        <v/>
      </c>
      <c r="N63" s="35" t="str">
        <f t="shared" si="30"/>
        <v/>
      </c>
      <c r="O63" s="35" t="str">
        <f t="shared" si="31"/>
        <v/>
      </c>
      <c r="P63" s="35" t="str">
        <f t="shared" si="36"/>
        <v/>
      </c>
      <c r="S63" s="61" t="str">
        <f t="shared" si="26"/>
        <v/>
      </c>
      <c r="T63" s="61" t="str">
        <f t="shared" si="27"/>
        <v/>
      </c>
      <c r="U63" s="14"/>
      <c r="V63" s="14"/>
      <c r="W63" s="14"/>
      <c r="X63" s="14"/>
      <c r="Y63" s="62" t="str" cm="1">
        <f t="array" ref="Y63">IFERROR(_xlfn.XLOOKUP(S63 &amp; T63, $D$8:$D$77 &amp; $E$8:$E$77, $P$8:$P$77*W63),"")</f>
        <v/>
      </c>
      <c r="Z63" s="35" t="str">
        <f t="shared" si="32"/>
        <v/>
      </c>
      <c r="AA63" s="35" t="str">
        <f t="shared" si="14"/>
        <v/>
      </c>
      <c r="AB63" s="62" t="str">
        <f t="shared" si="37"/>
        <v/>
      </c>
      <c r="AE63" s="56"/>
      <c r="AG63" t="s">
        <v>505</v>
      </c>
      <c r="AH63" t="s">
        <v>503</v>
      </c>
      <c r="AI63" s="14">
        <v>120</v>
      </c>
      <c r="AJ63" s="14">
        <v>250000</v>
      </c>
      <c r="AK63" s="14">
        <v>17400</v>
      </c>
      <c r="AL63" s="14">
        <v>79</v>
      </c>
      <c r="AM63" s="14">
        <v>0.85</v>
      </c>
    </row>
    <row r="64" spans="3:39" ht="15.5" thickTop="1" thickBot="1" x14ac:dyDescent="0.4">
      <c r="D64" s="14"/>
      <c r="E64" s="14"/>
      <c r="F64" s="57"/>
      <c r="G64" s="57"/>
      <c r="H64" s="57"/>
      <c r="I64" s="57"/>
      <c r="J64" s="35" t="str">
        <f t="shared" si="33"/>
        <v/>
      </c>
      <c r="K64" s="14"/>
      <c r="L64" t="str">
        <f t="shared" si="28"/>
        <v/>
      </c>
      <c r="M64" s="35" t="str">
        <f t="shared" si="29"/>
        <v/>
      </c>
      <c r="N64" s="35" t="str">
        <f t="shared" si="30"/>
        <v/>
      </c>
      <c r="O64" s="35" t="str">
        <f t="shared" si="31"/>
        <v/>
      </c>
      <c r="P64" s="35" t="str">
        <f t="shared" si="36"/>
        <v/>
      </c>
      <c r="S64" s="61" t="str">
        <f t="shared" si="26"/>
        <v/>
      </c>
      <c r="T64" s="61" t="str">
        <f t="shared" si="27"/>
        <v/>
      </c>
      <c r="U64" s="14"/>
      <c r="V64" s="14"/>
      <c r="W64" s="14"/>
      <c r="X64" s="14"/>
      <c r="Y64" s="62" t="str" cm="1">
        <f t="array" ref="Y64">IFERROR(_xlfn.XLOOKUP(S64 &amp; T64, $D$8:$D$77 &amp; $E$8:$E$77, $P$8:$P$77*W64),"")</f>
        <v/>
      </c>
      <c r="Z64" s="35" t="str">
        <f t="shared" si="32"/>
        <v/>
      </c>
      <c r="AA64" s="35" t="str">
        <f t="shared" si="14"/>
        <v/>
      </c>
      <c r="AB64" s="62" t="str">
        <f t="shared" si="37"/>
        <v/>
      </c>
      <c r="AE64" s="56"/>
      <c r="AG64" t="s">
        <v>506</v>
      </c>
      <c r="AH64" t="s">
        <v>503</v>
      </c>
      <c r="AI64" s="14">
        <v>120</v>
      </c>
      <c r="AJ64" s="14">
        <v>50000</v>
      </c>
      <c r="AK64" s="14">
        <v>12800</v>
      </c>
      <c r="AL64" s="14">
        <v>73</v>
      </c>
      <c r="AM64" s="14">
        <v>0.85</v>
      </c>
    </row>
    <row r="65" spans="4:39" ht="15.5" thickTop="1" thickBot="1" x14ac:dyDescent="0.4">
      <c r="D65" s="14"/>
      <c r="E65" s="14"/>
      <c r="F65" s="57"/>
      <c r="G65" s="57"/>
      <c r="H65" s="57"/>
      <c r="I65" s="57"/>
      <c r="J65" s="35" t="str">
        <f t="shared" si="33"/>
        <v/>
      </c>
      <c r="K65" s="14"/>
      <c r="L65" t="str">
        <f t="shared" si="28"/>
        <v/>
      </c>
      <c r="M65" s="35" t="str">
        <f t="shared" si="29"/>
        <v/>
      </c>
      <c r="N65" s="35" t="str">
        <f t="shared" si="30"/>
        <v/>
      </c>
      <c r="O65" s="35" t="str">
        <f t="shared" si="31"/>
        <v/>
      </c>
      <c r="P65" s="35" t="str">
        <f t="shared" si="36"/>
        <v/>
      </c>
      <c r="S65" s="61" t="str">
        <f t="shared" si="26"/>
        <v/>
      </c>
      <c r="T65" s="61" t="str">
        <f t="shared" si="27"/>
        <v/>
      </c>
      <c r="U65" s="14"/>
      <c r="V65" s="14"/>
      <c r="W65" s="14"/>
      <c r="X65" s="14"/>
      <c r="Y65" s="62" t="str" cm="1">
        <f t="array" ref="Y65">IFERROR(_xlfn.XLOOKUP(S65 &amp; T65, $D$8:$D$77 &amp; $E$8:$E$77, $P$8:$P$77*W65),"")</f>
        <v/>
      </c>
      <c r="Z65" s="35" t="str">
        <f t="shared" si="32"/>
        <v/>
      </c>
      <c r="AA65" s="35" t="str">
        <f t="shared" si="14"/>
        <v/>
      </c>
      <c r="AB65" s="62" t="str">
        <f t="shared" si="37"/>
        <v/>
      </c>
      <c r="AE65" s="56"/>
      <c r="AG65" s="64" t="s">
        <v>507</v>
      </c>
      <c r="AH65" s="64"/>
      <c r="AI65" s="64"/>
      <c r="AJ65" s="64"/>
      <c r="AK65" s="64"/>
      <c r="AL65" s="64"/>
      <c r="AM65" s="64"/>
    </row>
    <row r="66" spans="4:39" ht="15.5" thickTop="1" thickBot="1" x14ac:dyDescent="0.4">
      <c r="D66" s="14"/>
      <c r="E66" s="14"/>
      <c r="F66" s="57"/>
      <c r="G66" s="57"/>
      <c r="H66" s="57"/>
      <c r="I66" s="57"/>
      <c r="J66" s="35" t="str">
        <f t="shared" si="33"/>
        <v/>
      </c>
      <c r="K66" s="14"/>
      <c r="L66" t="str">
        <f t="shared" si="28"/>
        <v/>
      </c>
      <c r="M66" s="35" t="str">
        <f t="shared" si="29"/>
        <v/>
      </c>
      <c r="N66" s="35" t="str">
        <f t="shared" si="30"/>
        <v/>
      </c>
      <c r="O66" s="35" t="str">
        <f t="shared" si="31"/>
        <v/>
      </c>
      <c r="P66" s="35" t="str">
        <f t="shared" si="36"/>
        <v/>
      </c>
      <c r="S66" s="61" t="str">
        <f t="shared" si="26"/>
        <v/>
      </c>
      <c r="T66" s="61" t="str">
        <f t="shared" si="27"/>
        <v/>
      </c>
      <c r="U66" s="14"/>
      <c r="V66" s="14"/>
      <c r="W66" s="14"/>
      <c r="X66" s="14"/>
      <c r="Y66" s="62" t="str" cm="1">
        <f t="array" ref="Y66">IFERROR(_xlfn.XLOOKUP(S66 &amp; T66, $D$8:$D$77 &amp; $E$8:$E$77, $P$8:$P$77*W66),"")</f>
        <v/>
      </c>
      <c r="Z66" s="35" t="str">
        <f t="shared" si="32"/>
        <v/>
      </c>
      <c r="AA66" s="35" t="str">
        <f t="shared" si="14"/>
        <v/>
      </c>
      <c r="AB66" s="62" t="str">
        <f t="shared" si="37"/>
        <v/>
      </c>
      <c r="AE66" s="56"/>
      <c r="AG66" t="s">
        <v>508</v>
      </c>
      <c r="AH66" t="s">
        <v>509</v>
      </c>
      <c r="AI66" s="14">
        <v>0.2</v>
      </c>
      <c r="AJ66" s="14">
        <v>126</v>
      </c>
      <c r="AK66" s="14">
        <v>8000</v>
      </c>
      <c r="AL66" s="14">
        <v>240</v>
      </c>
      <c r="AM66" s="14">
        <v>0.9</v>
      </c>
    </row>
    <row r="67" spans="4:39" ht="15.5" thickTop="1" thickBot="1" x14ac:dyDescent="0.4">
      <c r="D67" s="14"/>
      <c r="E67" s="14"/>
      <c r="F67" s="57"/>
      <c r="G67" s="57"/>
      <c r="H67" s="57"/>
      <c r="I67" s="57"/>
      <c r="J67" s="35" t="str">
        <f t="shared" si="33"/>
        <v/>
      </c>
      <c r="K67" s="14"/>
      <c r="L67" t="str">
        <f t="shared" si="28"/>
        <v/>
      </c>
      <c r="M67" s="35" t="str">
        <f t="shared" si="29"/>
        <v/>
      </c>
      <c r="N67" s="35" t="str">
        <f t="shared" si="30"/>
        <v/>
      </c>
      <c r="O67" s="35" t="str">
        <f t="shared" si="31"/>
        <v/>
      </c>
      <c r="P67" s="35" t="str">
        <f t="shared" si="36"/>
        <v/>
      </c>
      <c r="S67" s="61" t="str">
        <f t="shared" si="26"/>
        <v/>
      </c>
      <c r="T67" s="61" t="str">
        <f t="shared" si="27"/>
        <v/>
      </c>
      <c r="U67" s="14"/>
      <c r="V67" s="14"/>
      <c r="W67" s="14"/>
      <c r="X67" s="14"/>
      <c r="Y67" s="62" t="str" cm="1">
        <f t="array" ref="Y67">IFERROR(_xlfn.XLOOKUP(S67 &amp; T67, $D$8:$D$77 &amp; $E$8:$E$77, $P$8:$P$77*W67),"")</f>
        <v/>
      </c>
      <c r="Z67" s="35" t="str">
        <f t="shared" si="32"/>
        <v/>
      </c>
      <c r="AA67" s="35" t="str">
        <f t="shared" si="14"/>
        <v/>
      </c>
      <c r="AB67" s="62" t="str">
        <f t="shared" si="37"/>
        <v/>
      </c>
      <c r="AE67" s="56"/>
      <c r="AG67" t="s">
        <v>510</v>
      </c>
      <c r="AH67" t="s">
        <v>453</v>
      </c>
      <c r="AI67" s="14">
        <v>1</v>
      </c>
      <c r="AJ67" s="14">
        <v>2500</v>
      </c>
      <c r="AK67" s="14">
        <v>-1100</v>
      </c>
      <c r="AL67" s="14">
        <v>2100</v>
      </c>
      <c r="AM67" s="14">
        <v>0.6</v>
      </c>
    </row>
    <row r="68" spans="4:39" ht="15.5" thickTop="1" thickBot="1" x14ac:dyDescent="0.4">
      <c r="D68" s="14"/>
      <c r="E68" s="14"/>
      <c r="F68" s="57"/>
      <c r="G68" s="57"/>
      <c r="H68" s="57"/>
      <c r="I68" s="57"/>
      <c r="J68" s="35" t="str">
        <f t="shared" si="33"/>
        <v/>
      </c>
      <c r="K68" s="14"/>
      <c r="L68" t="str">
        <f t="shared" si="28"/>
        <v/>
      </c>
      <c r="M68" s="35" t="str">
        <f t="shared" si="29"/>
        <v/>
      </c>
      <c r="N68" s="35" t="str">
        <f t="shared" si="30"/>
        <v/>
      </c>
      <c r="O68" s="35" t="str">
        <f t="shared" si="31"/>
        <v/>
      </c>
      <c r="P68" s="35" t="str">
        <f t="shared" si="36"/>
        <v/>
      </c>
      <c r="S68" s="61" t="str">
        <f t="shared" si="26"/>
        <v/>
      </c>
      <c r="T68" s="61" t="str">
        <f t="shared" si="27"/>
        <v/>
      </c>
      <c r="U68" s="14"/>
      <c r="V68" s="14"/>
      <c r="W68" s="14"/>
      <c r="X68" s="14"/>
      <c r="Y68" s="62" t="str" cm="1">
        <f t="array" ref="Y68">IFERROR(_xlfn.XLOOKUP(S68 &amp; T68, $D$8:$D$77 &amp; $E$8:$E$77, $P$8:$P$77*W68),"")</f>
        <v/>
      </c>
      <c r="Z68" s="35" t="str">
        <f t="shared" si="32"/>
        <v/>
      </c>
      <c r="AA68" s="35" t="str">
        <f t="shared" si="14"/>
        <v/>
      </c>
      <c r="AB68" s="62" t="str">
        <f t="shared" si="37"/>
        <v/>
      </c>
      <c r="AE68" s="56"/>
      <c r="AG68" t="s">
        <v>511</v>
      </c>
      <c r="AH68" t="s">
        <v>453</v>
      </c>
      <c r="AI68" s="14">
        <v>100</v>
      </c>
      <c r="AJ68" s="14">
        <v>20000</v>
      </c>
      <c r="AK68" s="14">
        <v>-14000</v>
      </c>
      <c r="AL68" s="14">
        <v>1900</v>
      </c>
      <c r="AM68" s="14">
        <v>0.75</v>
      </c>
    </row>
    <row r="69" spans="4:39" ht="15.5" thickTop="1" thickBot="1" x14ac:dyDescent="0.4">
      <c r="D69" s="14"/>
      <c r="E69" s="14"/>
      <c r="F69" s="57"/>
      <c r="G69" s="57"/>
      <c r="H69" s="57"/>
      <c r="I69" s="57"/>
      <c r="J69" s="35" t="str">
        <f t="shared" si="33"/>
        <v/>
      </c>
      <c r="K69" s="14"/>
      <c r="L69" t="str">
        <f t="shared" si="28"/>
        <v/>
      </c>
      <c r="M69" s="35" t="str">
        <f t="shared" si="29"/>
        <v/>
      </c>
      <c r="N69" s="35" t="str">
        <f t="shared" si="30"/>
        <v/>
      </c>
      <c r="O69" s="35" t="str">
        <f t="shared" si="31"/>
        <v/>
      </c>
      <c r="P69" s="35" t="str">
        <f t="shared" si="36"/>
        <v/>
      </c>
      <c r="S69" s="61" t="str">
        <f t="shared" si="26"/>
        <v/>
      </c>
      <c r="T69" s="61" t="str">
        <f t="shared" si="27"/>
        <v/>
      </c>
      <c r="U69" s="14"/>
      <c r="V69" s="14"/>
      <c r="W69" s="14"/>
      <c r="X69" s="14"/>
      <c r="Y69" s="62" t="str" cm="1">
        <f t="array" ref="Y69">IFERROR(_xlfn.XLOOKUP(S69 &amp; T69, $D$8:$D$77 &amp; $E$8:$E$77, $P$8:$P$77*W69),"")</f>
        <v/>
      </c>
      <c r="Z69" s="35" t="str">
        <f t="shared" si="32"/>
        <v/>
      </c>
      <c r="AA69" s="35" t="str">
        <f t="shared" si="14"/>
        <v/>
      </c>
      <c r="AB69" s="62" t="str">
        <f t="shared" si="37"/>
        <v/>
      </c>
      <c r="AE69" s="56"/>
      <c r="AG69" s="64" t="s">
        <v>512</v>
      </c>
      <c r="AH69" s="64"/>
      <c r="AI69" s="64"/>
      <c r="AJ69" s="64"/>
      <c r="AK69" s="64"/>
      <c r="AL69" s="64"/>
      <c r="AM69" s="64"/>
    </row>
    <row r="70" spans="4:39" ht="15.5" thickTop="1" thickBot="1" x14ac:dyDescent="0.4">
      <c r="D70" s="14"/>
      <c r="E70" s="14"/>
      <c r="F70" s="57"/>
      <c r="G70" s="57"/>
      <c r="H70" s="57"/>
      <c r="I70" s="57"/>
      <c r="J70" s="35" t="str">
        <f t="shared" si="33"/>
        <v/>
      </c>
      <c r="K70" s="14"/>
      <c r="L70" t="str">
        <f t="shared" si="28"/>
        <v/>
      </c>
      <c r="M70" s="35" t="str">
        <f t="shared" si="29"/>
        <v/>
      </c>
      <c r="N70" s="35" t="str">
        <f t="shared" si="30"/>
        <v/>
      </c>
      <c r="O70" s="35" t="str">
        <f t="shared" si="31"/>
        <v/>
      </c>
      <c r="P70" s="35" t="str">
        <f t="shared" si="36"/>
        <v/>
      </c>
      <c r="S70" s="61" t="str">
        <f t="shared" si="26"/>
        <v/>
      </c>
      <c r="T70" s="61" t="str">
        <f t="shared" si="27"/>
        <v/>
      </c>
      <c r="U70" s="14"/>
      <c r="V70" s="14"/>
      <c r="W70" s="14"/>
      <c r="X70" s="14"/>
      <c r="Y70" s="62" t="str" cm="1">
        <f t="array" ref="Y70">IFERROR(_xlfn.XLOOKUP(S70 &amp; T70, $D$8:$D$77 &amp; $E$8:$E$77, $P$8:$P$77*W70),"")</f>
        <v/>
      </c>
      <c r="Z70" s="35" t="str">
        <f t="shared" si="32"/>
        <v/>
      </c>
      <c r="AA70" s="35" t="str">
        <f t="shared" si="14"/>
        <v/>
      </c>
      <c r="AB70" s="62" t="str">
        <f t="shared" si="37"/>
        <v/>
      </c>
      <c r="AE70" s="56"/>
      <c r="AG70" t="s">
        <v>513</v>
      </c>
      <c r="AH70" t="s">
        <v>514</v>
      </c>
      <c r="AI70" s="14">
        <v>0.5</v>
      </c>
      <c r="AJ70" s="14">
        <v>100</v>
      </c>
      <c r="AK70" s="14">
        <v>61500</v>
      </c>
      <c r="AL70" s="14">
        <v>32500</v>
      </c>
      <c r="AM70" s="14">
        <v>0.8</v>
      </c>
    </row>
    <row r="71" spans="4:39" ht="15.5" thickTop="1" thickBot="1" x14ac:dyDescent="0.4">
      <c r="D71" s="14"/>
      <c r="E71" s="14"/>
      <c r="F71" s="57"/>
      <c r="G71" s="57"/>
      <c r="H71" s="57"/>
      <c r="I71" s="57"/>
      <c r="J71" s="35" t="str">
        <f t="shared" si="33"/>
        <v/>
      </c>
      <c r="K71" s="14"/>
      <c r="L71" t="str">
        <f t="shared" si="28"/>
        <v/>
      </c>
      <c r="M71" s="35" t="str">
        <f t="shared" si="29"/>
        <v/>
      </c>
      <c r="N71" s="35" t="str">
        <f t="shared" si="30"/>
        <v/>
      </c>
      <c r="O71" s="35" t="str">
        <f t="shared" si="31"/>
        <v/>
      </c>
      <c r="P71" s="35" t="str">
        <f t="shared" si="36"/>
        <v/>
      </c>
      <c r="S71" s="61" t="str">
        <f t="shared" ref="S71:S77" si="38">IF(ISBLANK(D71),"",D71)</f>
        <v/>
      </c>
      <c r="T71" s="61" t="str">
        <f t="shared" ref="T71:T77" si="39">IF(ISBLANK(E71),"",E71)</f>
        <v/>
      </c>
      <c r="U71" s="14"/>
      <c r="V71" s="14"/>
      <c r="W71" s="14"/>
      <c r="X71" s="14"/>
      <c r="Y71" s="62" t="str" cm="1">
        <f t="array" ref="Y71">IFERROR(_xlfn.XLOOKUP(S71 &amp; T71, $D$8:$D$77 &amp; $E$8:$E$77, $P$8:$P$77*W71),"")</f>
        <v/>
      </c>
      <c r="Z71" s="35" t="str">
        <f t="shared" si="32"/>
        <v/>
      </c>
      <c r="AA71" s="35" t="str">
        <f t="shared" si="14"/>
        <v/>
      </c>
      <c r="AB71" s="62" t="str">
        <f t="shared" si="37"/>
        <v/>
      </c>
      <c r="AE71" s="56"/>
      <c r="AG71" t="s">
        <v>515</v>
      </c>
      <c r="AH71" t="s">
        <v>514</v>
      </c>
      <c r="AI71" s="14">
        <v>0.5</v>
      </c>
      <c r="AJ71" s="14">
        <v>25</v>
      </c>
      <c r="AK71" s="14">
        <v>12800</v>
      </c>
      <c r="AL71" s="14">
        <v>88200</v>
      </c>
      <c r="AM71" s="14">
        <v>0.4</v>
      </c>
    </row>
    <row r="72" spans="4:39" ht="15.5" thickTop="1" thickBot="1" x14ac:dyDescent="0.4">
      <c r="D72" s="14"/>
      <c r="E72" s="14"/>
      <c r="F72" s="57"/>
      <c r="G72" s="57"/>
      <c r="H72" s="57"/>
      <c r="I72" s="57"/>
      <c r="J72" s="35" t="str">
        <f t="shared" si="33"/>
        <v/>
      </c>
      <c r="K72" s="14"/>
      <c r="L72" t="str">
        <f t="shared" ref="L72:L77" si="40">_xlfn.IFNA(AND(K72&gt;=_xlfn.XLOOKUP(E72,$AG$8:$AG$82,$AI$8:$AI$82),K72&lt;=_xlfn.XLOOKUP(E72,$AG$8:$AG$82,$AJ$8:$AJ$82)),"")</f>
        <v/>
      </c>
      <c r="M72" s="35" t="str">
        <f t="shared" ref="M72:M77" si="41">_xlfn.IFNA(_xlfn.XLOOKUP(E72,$AG$8:$AG$82,$AK$8:$AK$82),"")</f>
        <v/>
      </c>
      <c r="N72" s="35" t="str">
        <f t="shared" ref="N72:N77" si="42">_xlfn.IFNA(_xlfn.XLOOKUP(E72,$AG$8:$AG$82,$AL$8:$AL$82),"")</f>
        <v/>
      </c>
      <c r="O72" s="35" t="str">
        <f t="shared" ref="O72:O77" si="43">_xlfn.IFNA(_xlfn.XLOOKUP(E72,$AG$8:$AG$82,$AM$8:$AM$82),"")</f>
        <v/>
      </c>
      <c r="P72" s="35" t="str">
        <f t="shared" si="36"/>
        <v/>
      </c>
      <c r="S72" s="61" t="str">
        <f t="shared" si="38"/>
        <v/>
      </c>
      <c r="T72" s="61" t="str">
        <f t="shared" si="39"/>
        <v/>
      </c>
      <c r="U72" s="14"/>
      <c r="V72" s="14"/>
      <c r="W72" s="14"/>
      <c r="X72" s="14"/>
      <c r="Y72" s="62" t="str" cm="1">
        <f t="array" ref="Y72">IFERROR(_xlfn.XLOOKUP(S72 &amp; T72, $D$8:$D$77 &amp; $E$8:$E$77, $P$8:$P$77*W72),"")</f>
        <v/>
      </c>
      <c r="Z72" s="35" t="str">
        <f t="shared" ref="Z72:Z77" si="44">_xlfn.IFNA(_xlfn.XLOOKUP(V72,$AT$8:$AT$18,$AU$8:$AU$18),"")</f>
        <v/>
      </c>
      <c r="AA72" s="35" t="str">
        <f t="shared" si="14"/>
        <v/>
      </c>
      <c r="AB72" s="62" t="str">
        <f t="shared" si="37"/>
        <v/>
      </c>
      <c r="AE72" s="56"/>
      <c r="AG72" s="64" t="s">
        <v>516</v>
      </c>
      <c r="AH72" s="64"/>
      <c r="AI72" s="64"/>
      <c r="AJ72" s="64"/>
      <c r="AK72" s="64"/>
      <c r="AL72" s="64"/>
      <c r="AM72" s="64"/>
    </row>
    <row r="73" spans="4:39" ht="15.5" thickTop="1" thickBot="1" x14ac:dyDescent="0.4">
      <c r="D73" s="14"/>
      <c r="E73" s="14"/>
      <c r="F73" s="57"/>
      <c r="G73" s="57"/>
      <c r="H73" s="57"/>
      <c r="I73" s="57"/>
      <c r="J73" s="35" t="str">
        <f t="shared" si="33"/>
        <v/>
      </c>
      <c r="K73" s="14"/>
      <c r="L73" t="str">
        <f t="shared" si="40"/>
        <v/>
      </c>
      <c r="M73" s="35" t="str">
        <f t="shared" si="41"/>
        <v/>
      </c>
      <c r="N73" s="35" t="str">
        <f t="shared" si="42"/>
        <v/>
      </c>
      <c r="O73" s="35" t="str">
        <f t="shared" si="43"/>
        <v/>
      </c>
      <c r="P73" s="35" t="str">
        <f t="shared" si="36"/>
        <v/>
      </c>
      <c r="S73" s="61" t="str">
        <f t="shared" si="38"/>
        <v/>
      </c>
      <c r="T73" s="61" t="str">
        <f t="shared" si="39"/>
        <v/>
      </c>
      <c r="U73" s="14"/>
      <c r="V73" s="14"/>
      <c r="W73" s="14"/>
      <c r="X73" s="14"/>
      <c r="Y73" s="62" t="str" cm="1">
        <f t="array" ref="Y73">IFERROR(_xlfn.XLOOKUP(S73 &amp; T73, $D$8:$D$77 &amp; $E$8:$E$77, $P$8:$P$77*W73),"")</f>
        <v/>
      </c>
      <c r="Z73" s="35" t="str">
        <f t="shared" si="44"/>
        <v/>
      </c>
      <c r="AA73" s="35" t="str">
        <f t="shared" si="14"/>
        <v/>
      </c>
      <c r="AB73" s="62" t="str">
        <f t="shared" si="37"/>
        <v/>
      </c>
      <c r="AE73" s="56"/>
      <c r="AG73" t="s">
        <v>517</v>
      </c>
      <c r="AH73" t="s">
        <v>490</v>
      </c>
      <c r="AI73" s="14">
        <v>100</v>
      </c>
      <c r="AJ73" s="14">
        <v>10000</v>
      </c>
      <c r="AK73" s="14">
        <v>113000</v>
      </c>
      <c r="AL73" s="14">
        <v>3250</v>
      </c>
      <c r="AM73" s="14">
        <v>0.65</v>
      </c>
    </row>
    <row r="74" spans="4:39" ht="15.5" thickTop="1" thickBot="1" x14ac:dyDescent="0.4">
      <c r="D74" s="14"/>
      <c r="E74" s="14"/>
      <c r="F74" s="57"/>
      <c r="G74" s="57"/>
      <c r="H74" s="57"/>
      <c r="I74" s="57"/>
      <c r="J74" s="35" t="str">
        <f t="shared" si="33"/>
        <v/>
      </c>
      <c r="K74" s="14"/>
      <c r="L74" t="str">
        <f t="shared" si="40"/>
        <v/>
      </c>
      <c r="M74" s="35" t="str">
        <f t="shared" si="41"/>
        <v/>
      </c>
      <c r="N74" s="35" t="str">
        <f t="shared" si="42"/>
        <v/>
      </c>
      <c r="O74" s="35" t="str">
        <f t="shared" si="43"/>
        <v/>
      </c>
      <c r="P74" s="35" t="str">
        <f t="shared" si="36"/>
        <v/>
      </c>
      <c r="S74" s="61" t="str">
        <f t="shared" si="38"/>
        <v/>
      </c>
      <c r="T74" s="61" t="str">
        <f t="shared" si="39"/>
        <v/>
      </c>
      <c r="U74" s="14"/>
      <c r="V74" s="14"/>
      <c r="W74" s="14"/>
      <c r="X74" s="14"/>
      <c r="Y74" s="62" t="str" cm="1">
        <f t="array" ref="Y74">IFERROR(_xlfn.XLOOKUP(S74 &amp; T74, $D$8:$D$77 &amp; $E$8:$E$77, $P$8:$P$77*W74),"")</f>
        <v/>
      </c>
      <c r="Z74" s="35" t="str">
        <f t="shared" si="44"/>
        <v/>
      </c>
      <c r="AA74" s="35" t="str">
        <f t="shared" si="14"/>
        <v/>
      </c>
      <c r="AB74" s="62" t="str">
        <f t="shared" si="37"/>
        <v/>
      </c>
      <c r="AE74" s="56"/>
      <c r="AG74" t="s">
        <v>518</v>
      </c>
      <c r="AH74" t="s">
        <v>490</v>
      </c>
      <c r="AI74" s="14">
        <v>10</v>
      </c>
      <c r="AJ74" s="14">
        <v>4000</v>
      </c>
      <c r="AK74" s="14">
        <v>5800</v>
      </c>
      <c r="AL74" s="14">
        <v>1600</v>
      </c>
      <c r="AM74" s="14">
        <v>0.7</v>
      </c>
    </row>
    <row r="75" spans="4:39" ht="15.5" thickTop="1" thickBot="1" x14ac:dyDescent="0.4">
      <c r="D75" s="14"/>
      <c r="E75" s="14"/>
      <c r="F75" s="57"/>
      <c r="G75" s="57"/>
      <c r="H75" s="57"/>
      <c r="I75" s="57"/>
      <c r="J75" s="35" t="str">
        <f t="shared" si="33"/>
        <v/>
      </c>
      <c r="K75" s="14"/>
      <c r="L75" t="str">
        <f t="shared" si="40"/>
        <v/>
      </c>
      <c r="M75" s="35" t="str">
        <f t="shared" si="41"/>
        <v/>
      </c>
      <c r="N75" s="35" t="str">
        <f t="shared" si="42"/>
        <v/>
      </c>
      <c r="O75" s="35" t="str">
        <f t="shared" si="43"/>
        <v/>
      </c>
      <c r="P75" s="35" t="str">
        <f t="shared" si="36"/>
        <v/>
      </c>
      <c r="S75" s="61" t="str">
        <f t="shared" si="38"/>
        <v/>
      </c>
      <c r="T75" s="61" t="str">
        <f t="shared" si="39"/>
        <v/>
      </c>
      <c r="U75" s="14"/>
      <c r="V75" s="14"/>
      <c r="W75" s="14"/>
      <c r="X75" s="14"/>
      <c r="Y75" s="62" t="str" cm="1">
        <f t="array" ref="Y75">IFERROR(_xlfn.XLOOKUP(S75 &amp; T75, $D$8:$D$77 &amp; $E$8:$E$77, $P$8:$P$77*W75),"")</f>
        <v/>
      </c>
      <c r="Z75" s="35" t="str">
        <f t="shared" si="44"/>
        <v/>
      </c>
      <c r="AA75" s="35" t="str">
        <f t="shared" ref="AA75:AA77" si="45">_xlfn.IFNA(_xlfn.XLOOKUP(U75,$AP$8:$AP$16,$AQ$8:$AQ$16),"")</f>
        <v/>
      </c>
      <c r="AB75" s="62" t="str">
        <f t="shared" si="37"/>
        <v/>
      </c>
      <c r="AE75" s="56"/>
      <c r="AG75" s="64" t="s">
        <v>519</v>
      </c>
      <c r="AH75" s="64"/>
      <c r="AI75" s="64"/>
      <c r="AJ75" s="64"/>
      <c r="AK75" s="64"/>
      <c r="AL75" s="64"/>
      <c r="AM75" s="64"/>
    </row>
    <row r="76" spans="4:39" ht="15.5" thickTop="1" thickBot="1" x14ac:dyDescent="0.4">
      <c r="D76" s="14"/>
      <c r="E76" s="14"/>
      <c r="F76" s="57"/>
      <c r="G76" s="57"/>
      <c r="H76" s="57"/>
      <c r="I76" s="57"/>
      <c r="J76" s="35" t="str">
        <f t="shared" si="33"/>
        <v/>
      </c>
      <c r="K76" s="14"/>
      <c r="L76" t="str">
        <f t="shared" si="40"/>
        <v/>
      </c>
      <c r="M76" s="35" t="str">
        <f t="shared" si="41"/>
        <v/>
      </c>
      <c r="N76" s="35" t="str">
        <f t="shared" si="42"/>
        <v/>
      </c>
      <c r="O76" s="35" t="str">
        <f t="shared" si="43"/>
        <v/>
      </c>
      <c r="P76" s="35" t="str">
        <f t="shared" si="36"/>
        <v/>
      </c>
      <c r="S76" s="61" t="str">
        <f t="shared" si="38"/>
        <v/>
      </c>
      <c r="T76" s="61" t="str">
        <f t="shared" si="39"/>
        <v/>
      </c>
      <c r="U76" s="14"/>
      <c r="V76" s="14"/>
      <c r="W76" s="14"/>
      <c r="X76" s="14"/>
      <c r="Y76" s="62" t="str" cm="1">
        <f t="array" ref="Y76">IFERROR(_xlfn.XLOOKUP(S76 &amp; T76, $D$8:$D$77 &amp; $E$8:$E$77, $P$8:$P$77*W76),"")</f>
        <v/>
      </c>
      <c r="Z76" s="35" t="str">
        <f t="shared" si="44"/>
        <v/>
      </c>
      <c r="AA76" s="35" t="str">
        <f t="shared" si="45"/>
        <v/>
      </c>
      <c r="AB76" s="62" t="str">
        <f t="shared" si="37"/>
        <v/>
      </c>
      <c r="AE76" s="56"/>
      <c r="AG76" t="s">
        <v>520</v>
      </c>
      <c r="AH76" t="s">
        <v>449</v>
      </c>
      <c r="AI76" s="14">
        <v>0.5</v>
      </c>
      <c r="AJ76" s="14">
        <v>5</v>
      </c>
      <c r="AK76" s="14">
        <v>130</v>
      </c>
      <c r="AL76" s="14">
        <v>440</v>
      </c>
      <c r="AM76" s="14">
        <v>1.8</v>
      </c>
    </row>
    <row r="77" spans="4:39" ht="15.5" thickTop="1" thickBot="1" x14ac:dyDescent="0.4">
      <c r="D77" s="14"/>
      <c r="E77" s="14"/>
      <c r="F77" s="59"/>
      <c r="G77" s="77"/>
      <c r="H77" s="77"/>
      <c r="I77" s="77"/>
      <c r="J77" s="35" t="str">
        <f t="shared" si="33"/>
        <v/>
      </c>
      <c r="K77" s="14"/>
      <c r="L77" t="str">
        <f t="shared" si="40"/>
        <v/>
      </c>
      <c r="M77" s="35" t="str">
        <f t="shared" si="41"/>
        <v/>
      </c>
      <c r="N77" s="35" t="str">
        <f t="shared" si="42"/>
        <v/>
      </c>
      <c r="O77" s="35" t="str">
        <f t="shared" si="43"/>
        <v/>
      </c>
      <c r="P77" s="35" t="str">
        <f t="shared" si="36"/>
        <v/>
      </c>
      <c r="S77" s="61" t="str">
        <f t="shared" si="38"/>
        <v/>
      </c>
      <c r="T77" s="61" t="str">
        <f t="shared" si="39"/>
        <v/>
      </c>
      <c r="U77" s="14"/>
      <c r="V77" s="14"/>
      <c r="W77" s="14"/>
      <c r="X77" s="14"/>
      <c r="Y77" s="62" t="str" cm="1">
        <f t="array" ref="Y77">IFERROR(_xlfn.XLOOKUP(S77 &amp; T77, $D$8:$D$77 &amp; $E$8:$E$77, $P$8:$P$77*W77),"")</f>
        <v/>
      </c>
      <c r="Z77" s="35" t="str">
        <f t="shared" si="44"/>
        <v/>
      </c>
      <c r="AA77" s="35" t="str">
        <f t="shared" si="45"/>
        <v/>
      </c>
      <c r="AB77" s="62" t="str">
        <f t="shared" si="37"/>
        <v/>
      </c>
      <c r="AE77" s="56"/>
      <c r="AG77" t="s">
        <v>521</v>
      </c>
      <c r="AH77" t="s">
        <v>449</v>
      </c>
      <c r="AI77" s="14">
        <v>0.5</v>
      </c>
      <c r="AJ77" s="14">
        <v>5</v>
      </c>
      <c r="AK77" s="14">
        <v>210</v>
      </c>
      <c r="AL77" s="14">
        <v>400</v>
      </c>
      <c r="AM77" s="14">
        <v>1.9</v>
      </c>
    </row>
    <row r="78" spans="4:39" ht="15" thickTop="1" x14ac:dyDescent="0.35">
      <c r="AE78" s="56"/>
      <c r="AG78" t="s">
        <v>522</v>
      </c>
      <c r="AH78" t="s">
        <v>449</v>
      </c>
      <c r="AI78" s="14">
        <v>0.5</v>
      </c>
      <c r="AJ78" s="14">
        <v>5</v>
      </c>
      <c r="AK78" s="14">
        <v>340</v>
      </c>
      <c r="AL78" s="14">
        <v>640</v>
      </c>
      <c r="AM78" s="14">
        <v>1.9</v>
      </c>
    </row>
    <row r="79" spans="4:39" x14ac:dyDescent="0.35">
      <c r="S79" s="1"/>
      <c r="AE79" s="56"/>
      <c r="AG79" s="64" t="s">
        <v>523</v>
      </c>
      <c r="AH79" s="64"/>
      <c r="AI79" s="64"/>
      <c r="AJ79" s="64"/>
      <c r="AK79" s="64"/>
      <c r="AL79" s="64"/>
      <c r="AM79" s="64"/>
    </row>
    <row r="80" spans="4:39" x14ac:dyDescent="0.35">
      <c r="AE80" s="56"/>
      <c r="AG80" t="s">
        <v>524</v>
      </c>
      <c r="AH80" t="s">
        <v>509</v>
      </c>
      <c r="AI80" s="14">
        <v>100</v>
      </c>
      <c r="AJ80" s="14">
        <v>10000</v>
      </c>
      <c r="AK80" s="14">
        <v>170000</v>
      </c>
      <c r="AL80" s="14">
        <v>1500</v>
      </c>
      <c r="AM80" s="14">
        <v>0.9</v>
      </c>
    </row>
    <row r="81" spans="31:39" x14ac:dyDescent="0.35">
      <c r="AE81" s="56"/>
      <c r="AG81" t="s">
        <v>525</v>
      </c>
      <c r="AH81" t="s">
        <v>526</v>
      </c>
      <c r="AI81" s="14">
        <v>50</v>
      </c>
      <c r="AJ81" s="14">
        <v>1500</v>
      </c>
      <c r="AK81" s="14">
        <v>24000</v>
      </c>
      <c r="AL81" s="14">
        <v>3500</v>
      </c>
      <c r="AM81" s="14">
        <v>0.9</v>
      </c>
    </row>
    <row r="82" spans="31:39" x14ac:dyDescent="0.35">
      <c r="AE82" s="56"/>
      <c r="AG82" t="s">
        <v>527</v>
      </c>
      <c r="AH82" t="s">
        <v>528</v>
      </c>
      <c r="AI82" s="14">
        <v>1</v>
      </c>
      <c r="AJ82" s="14">
        <v>50</v>
      </c>
      <c r="AK82" s="14">
        <v>14000</v>
      </c>
      <c r="AL82" s="14">
        <v>6200</v>
      </c>
      <c r="AM82" s="14">
        <v>0.75</v>
      </c>
    </row>
    <row r="83" spans="31:39" x14ac:dyDescent="0.35">
      <c r="AE83" s="56"/>
    </row>
    <row r="84" spans="31:39" x14ac:dyDescent="0.35">
      <c r="AE84" s="56"/>
    </row>
    <row r="85" spans="31:39" x14ac:dyDescent="0.35">
      <c r="AE85" s="56"/>
    </row>
    <row r="86" spans="31:39" x14ac:dyDescent="0.35">
      <c r="AE86" s="56"/>
    </row>
    <row r="87" spans="31:39" x14ac:dyDescent="0.35">
      <c r="AE87" s="56"/>
    </row>
    <row r="88" spans="31:39" x14ac:dyDescent="0.35">
      <c r="AE88" s="56"/>
    </row>
    <row r="89" spans="31:39" x14ac:dyDescent="0.35">
      <c r="AE89" s="56"/>
    </row>
    <row r="90" spans="31:39" x14ac:dyDescent="0.35">
      <c r="AE90" s="56"/>
    </row>
  </sheetData>
  <mergeCells count="5">
    <mergeCell ref="C3:P3"/>
    <mergeCell ref="S3:AB3"/>
    <mergeCell ref="AG3:AM3"/>
    <mergeCell ref="AP3:AQ3"/>
    <mergeCell ref="AT3:AU3"/>
  </mergeCells>
  <phoneticPr fontId="17" type="noConversion"/>
  <conditionalFormatting sqref="L7:L77">
    <cfRule type="containsText" dxfId="1" priority="1" operator="containsText" text="FALSE">
      <formula>NOT(ISERROR(SEARCH("FALSE",L7)))</formula>
    </cfRule>
    <cfRule type="containsText" dxfId="0" priority="2" operator="containsText" text="TRUE">
      <formula>NOT(ISERROR(SEARCH("TRUE",L7)))</formula>
    </cfRule>
  </conditionalFormatting>
  <dataValidations count="3">
    <dataValidation type="list" allowBlank="1" showInputMessage="1" showErrorMessage="1" sqref="U7:U77" xr:uid="{134BF29E-E5E4-4F63-83D1-9EC2A42F4CC8}">
      <formula1>$AP$8:$AP$16</formula1>
    </dataValidation>
    <dataValidation type="list" allowBlank="1" showInputMessage="1" showErrorMessage="1" sqref="V7:V77" xr:uid="{988BE20A-FB76-4E24-8C6C-DB1E454067A1}">
      <formula1>$AT$8:$AT$18</formula1>
    </dataValidation>
    <dataValidation type="list" errorStyle="warning" allowBlank="1" showInputMessage="1" showErrorMessage="1" sqref="E7:E77" xr:uid="{D04E8462-7572-47B4-8A87-6A99A1814F8E}">
      <formula1>$AG$8:$AG$82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xr:uid="{21AF5607-FD98-4A96-87A3-9308CE13A1EF}">
          <x14:formula1>
            <xm:f>'Base operation parameters'!$H$2:$H$5</xm:f>
          </x14:formula1>
          <xm:sqref>C7:C77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8B9B-564A-4B9A-8151-B8913341F6BD}">
  <dimension ref="A1:AH177"/>
  <sheetViews>
    <sheetView topLeftCell="A45" zoomScale="40" zoomScaleNormal="40" workbookViewId="0">
      <selection activeCell="V78" sqref="V78"/>
    </sheetView>
  </sheetViews>
  <sheetFormatPr defaultColWidth="8.7265625" defaultRowHeight="14.5" x14ac:dyDescent="0.35"/>
  <cols>
    <col min="1" max="1" width="27.26953125" style="23" bestFit="1" customWidth="1"/>
    <col min="2" max="2" width="19.08984375" style="23" bestFit="1" customWidth="1"/>
    <col min="3" max="3" width="70.36328125" style="23" bestFit="1" customWidth="1"/>
    <col min="4" max="4" width="30" style="23" bestFit="1" customWidth="1"/>
    <col min="5" max="5" width="27.36328125" style="23" bestFit="1" customWidth="1"/>
    <col min="6" max="6" width="44.26953125" style="23" bestFit="1" customWidth="1"/>
    <col min="7" max="7" width="23" style="23" bestFit="1" customWidth="1"/>
    <col min="8" max="8" width="23.90625" style="23" customWidth="1"/>
    <col min="9" max="9" width="27" style="23" bestFit="1" customWidth="1"/>
    <col min="10" max="10" width="17.54296875" style="23" bestFit="1" customWidth="1"/>
    <col min="11" max="11" width="17.453125" style="23" bestFit="1" customWidth="1"/>
    <col min="12" max="12" width="12.1796875" style="23" bestFit="1" customWidth="1"/>
    <col min="13" max="13" width="13.6328125" style="23" bestFit="1" customWidth="1"/>
    <col min="14" max="14" width="11.81640625" style="23" customWidth="1"/>
    <col min="15" max="15" width="27.36328125" style="23" bestFit="1" customWidth="1"/>
    <col min="16" max="17" width="12.1796875" style="23" bestFit="1" customWidth="1"/>
    <col min="18" max="18" width="8.81640625" style="23" bestFit="1" customWidth="1"/>
    <col min="19" max="19" width="7.90625" style="23" bestFit="1" customWidth="1"/>
    <col min="20" max="20" width="11.7265625" style="23" bestFit="1" customWidth="1"/>
    <col min="21" max="21" width="7.90625" style="23" bestFit="1" customWidth="1"/>
    <col min="22" max="22" width="17.90625" style="23" bestFit="1" customWidth="1"/>
    <col min="23" max="23" width="11.08984375" style="23" bestFit="1" customWidth="1"/>
    <col min="24" max="24" width="10.81640625" style="23" customWidth="1"/>
    <col min="25" max="25" width="15.36328125" style="23" customWidth="1"/>
    <col min="26" max="26" width="10" style="23" bestFit="1" customWidth="1"/>
    <col min="27" max="27" width="11.36328125" style="23" bestFit="1" customWidth="1"/>
    <col min="28" max="28" width="23.1796875" style="23" bestFit="1" customWidth="1"/>
    <col min="29" max="29" width="16.1796875" style="23" customWidth="1"/>
    <col min="30" max="30" width="12.1796875" style="23" bestFit="1" customWidth="1"/>
    <col min="31" max="31" width="15.6328125" style="23" bestFit="1" customWidth="1"/>
    <col min="32" max="32" width="13.26953125" style="23" customWidth="1"/>
    <col min="33" max="33" width="7.26953125" style="23" bestFit="1" customWidth="1"/>
    <col min="34" max="34" width="9.08984375" style="23" bestFit="1" customWidth="1"/>
    <col min="35" max="35" width="5.7265625" style="23" bestFit="1" customWidth="1"/>
    <col min="36" max="36" width="10.1796875" style="23" bestFit="1" customWidth="1"/>
    <col min="37" max="16384" width="8.7265625" style="23"/>
  </cols>
  <sheetData>
    <row r="1" spans="1:14" x14ac:dyDescent="0.35">
      <c r="A1" s="110" t="s">
        <v>57</v>
      </c>
      <c r="C1" s="23" t="s">
        <v>720</v>
      </c>
      <c r="D1" s="23" t="s">
        <v>721</v>
      </c>
      <c r="F1" s="111" t="s">
        <v>701</v>
      </c>
    </row>
    <row r="2" spans="1:14" ht="58" x14ac:dyDescent="0.35">
      <c r="A2" s="23" t="s">
        <v>714</v>
      </c>
      <c r="B2" s="23" t="s">
        <v>712</v>
      </c>
      <c r="C2" s="112">
        <f ca="1">'Equipment list&amp;costing'!Y50/1000000</f>
        <v>17.919482692064257</v>
      </c>
      <c r="D2" s="112">
        <f ca="1">('Equipment list&amp;costing'!Y51-'Equipment list&amp;costing'!Y50)/1000000</f>
        <v>45.730029624454289</v>
      </c>
      <c r="E2" s="112"/>
      <c r="F2" s="23" t="s">
        <v>702</v>
      </c>
      <c r="G2" s="23" t="s">
        <v>703</v>
      </c>
      <c r="H2" s="23" t="s">
        <v>704</v>
      </c>
      <c r="I2" s="23" t="s">
        <v>706</v>
      </c>
      <c r="L2" s="23" t="s">
        <v>856</v>
      </c>
      <c r="M2" s="23" t="s">
        <v>857</v>
      </c>
    </row>
    <row r="3" spans="1:14" ht="73.5" x14ac:dyDescent="0.45">
      <c r="A3" s="23" t="s">
        <v>715</v>
      </c>
      <c r="B3" s="23" t="s">
        <v>722</v>
      </c>
      <c r="C3" s="112">
        <f ca="1">'Equipment list&amp;costing'!AB50/1000000*'Base operation parameters'!$C$19/'Base operation parameters'!$C$16</f>
        <v>118.44817053478184</v>
      </c>
      <c r="D3" s="112">
        <f ca="1">('Equipment list&amp;costing'!AB51-'Equipment list&amp;costing'!AB50)/1000000</f>
        <v>177.91160663100095</v>
      </c>
      <c r="E3" s="112"/>
      <c r="F3" s="113">
        <v>0.3</v>
      </c>
      <c r="G3" s="113">
        <v>0.3</v>
      </c>
      <c r="H3" s="113">
        <v>0.3</v>
      </c>
      <c r="I3" s="113">
        <v>0.1</v>
      </c>
      <c r="K3" s="23" t="s">
        <v>858</v>
      </c>
      <c r="L3" s="114">
        <v>1.19</v>
      </c>
      <c r="M3" s="114">
        <v>1.02</v>
      </c>
      <c r="N3" s="23" t="s">
        <v>636</v>
      </c>
    </row>
    <row r="4" spans="1:14" ht="88" x14ac:dyDescent="0.45">
      <c r="A4" s="23" t="s">
        <v>715</v>
      </c>
      <c r="B4" s="23" t="s">
        <v>722</v>
      </c>
      <c r="C4" s="112">
        <f ca="1">C3</f>
        <v>118.44817053478184</v>
      </c>
      <c r="D4" s="112"/>
      <c r="E4" s="113"/>
      <c r="F4" s="113"/>
      <c r="G4" s="113"/>
      <c r="H4" s="113"/>
      <c r="K4" s="23" t="s">
        <v>854</v>
      </c>
      <c r="L4" s="135">
        <f>1.13/1.1312</f>
        <v>0.99893917963224887</v>
      </c>
      <c r="M4" s="135">
        <f>1.3185/1.6353</f>
        <v>0.80627407815079799</v>
      </c>
    </row>
    <row r="5" spans="1:14" ht="30" x14ac:dyDescent="0.45">
      <c r="A5" s="23" t="s">
        <v>716</v>
      </c>
      <c r="B5" s="23" t="s">
        <v>713</v>
      </c>
      <c r="C5" s="112">
        <f ca="1">C4*(1+$F$3)</f>
        <v>153.98262169521638</v>
      </c>
      <c r="D5" s="112"/>
      <c r="E5" s="111"/>
      <c r="F5" s="23" t="s">
        <v>812</v>
      </c>
      <c r="K5" s="23" t="s">
        <v>855</v>
      </c>
      <c r="L5" s="135">
        <f>L4*L3</f>
        <v>1.1887376237623761</v>
      </c>
      <c r="M5" s="135">
        <f>M4*M3</f>
        <v>0.82239955971381395</v>
      </c>
    </row>
    <row r="6" spans="1:14" ht="30" x14ac:dyDescent="0.45">
      <c r="A6" s="23" t="s">
        <v>717</v>
      </c>
      <c r="B6" s="23" t="s">
        <v>718</v>
      </c>
      <c r="C6" s="112">
        <f ca="1">C4*(1+$F$3)*(1+$G$3)</f>
        <v>200.17740820378131</v>
      </c>
      <c r="D6" s="112"/>
      <c r="F6" s="23">
        <f>(1+$F$3)*(1+$G$3+$H$3)*M5*'Base operation parameters'!C19/'Base operation parameters'!C16</f>
        <v>2.5259225448690272</v>
      </c>
    </row>
    <row r="7" spans="1:14" ht="59" x14ac:dyDescent="0.45">
      <c r="A7" s="23" t="s">
        <v>719</v>
      </c>
      <c r="B7" s="23" t="s">
        <v>723</v>
      </c>
      <c r="C7" s="112">
        <f ca="1">C4*(1+$F$3)*(1+$G$3+$H$3)*M5+D13+D14+D15</f>
        <v>238.93357752480119</v>
      </c>
      <c r="D7" s="112"/>
      <c r="F7" s="163">
        <f ca="1">F6*C3*'Base operation parameters'!C16/'Base operation parameters'!C19-C7+SUM(D13:D15)</f>
        <v>0</v>
      </c>
    </row>
    <row r="8" spans="1:14" ht="59" x14ac:dyDescent="0.45">
      <c r="A8" s="23" t="s">
        <v>719</v>
      </c>
      <c r="B8" s="23" t="s">
        <v>723</v>
      </c>
      <c r="C8" s="184">
        <f ca="1">C7+D3</f>
        <v>416.84518415580214</v>
      </c>
      <c r="D8" s="184"/>
    </row>
    <row r="9" spans="1:14" ht="44.5" x14ac:dyDescent="0.45">
      <c r="A9" s="23" t="s">
        <v>754</v>
      </c>
      <c r="B9" s="23" t="s">
        <v>755</v>
      </c>
      <c r="C9" s="184">
        <f ca="1">C8</f>
        <v>416.84518415580214</v>
      </c>
      <c r="D9" s="184"/>
    </row>
    <row r="10" spans="1:14" ht="44.5" x14ac:dyDescent="0.45">
      <c r="A10" s="23" t="s">
        <v>756</v>
      </c>
      <c r="B10" s="23" t="s">
        <v>757</v>
      </c>
      <c r="C10" s="184">
        <f ca="1">(1+I3)*C9</f>
        <v>458.52970257138242</v>
      </c>
      <c r="D10" s="184"/>
    </row>
    <row r="11" spans="1:14" x14ac:dyDescent="0.35">
      <c r="F11" s="115">
        <f>(14790000+5650000)*(B14/8772.75)^0.6/1000000</f>
        <v>24.652740030020549</v>
      </c>
    </row>
    <row r="12" spans="1:14" x14ac:dyDescent="0.35">
      <c r="A12" s="111" t="s">
        <v>538</v>
      </c>
      <c r="B12" s="23" t="s">
        <v>533</v>
      </c>
      <c r="C12" s="23" t="s">
        <v>398</v>
      </c>
      <c r="D12" s="23" t="s">
        <v>535</v>
      </c>
      <c r="E12" s="23" t="s">
        <v>398</v>
      </c>
      <c r="F12" s="23" t="s">
        <v>11</v>
      </c>
    </row>
    <row r="13" spans="1:14" x14ac:dyDescent="0.35">
      <c r="A13" s="23" t="s">
        <v>777</v>
      </c>
      <c r="B13" s="113">
        <v>0.25</v>
      </c>
      <c r="C13" s="23" t="s">
        <v>778</v>
      </c>
      <c r="D13" s="115">
        <f>B13/0.75*F19*'Base operation parameters'!C9</f>
        <v>10.473274248529707</v>
      </c>
      <c r="E13" s="23" t="s">
        <v>541</v>
      </c>
      <c r="F13" s="23" t="s">
        <v>779</v>
      </c>
    </row>
    <row r="14" spans="1:14" x14ac:dyDescent="0.35">
      <c r="A14" s="23" t="s">
        <v>536</v>
      </c>
      <c r="B14" s="23">
        <v>11988.8150606094</v>
      </c>
      <c r="C14" s="23" t="s">
        <v>540</v>
      </c>
      <c r="D14" s="149">
        <f>(14790000+5650000)*(B14/8772.75)^0.6/1000000</f>
        <v>24.652740030020549</v>
      </c>
      <c r="E14" s="23" t="s">
        <v>814</v>
      </c>
      <c r="F14" s="23" t="s">
        <v>539</v>
      </c>
    </row>
    <row r="15" spans="1:14" ht="29" x14ac:dyDescent="0.35">
      <c r="A15" s="23" t="s">
        <v>676</v>
      </c>
      <c r="B15" s="113">
        <v>0.03</v>
      </c>
      <c r="C15" s="23" t="s">
        <v>759</v>
      </c>
      <c r="D15" s="115">
        <f>B15*80000000*(62834000/360000000)^0.6*('Base operation parameters'!C19/'Base operation parameters'!C17)*Economics!M3/1000000</f>
        <v>1.1911787890913568</v>
      </c>
      <c r="E15" s="23" t="s">
        <v>813</v>
      </c>
      <c r="F15" s="23" t="s">
        <v>761</v>
      </c>
    </row>
    <row r="17" spans="1:11" x14ac:dyDescent="0.35">
      <c r="A17" s="110" t="s">
        <v>50</v>
      </c>
    </row>
    <row r="18" spans="1:11" x14ac:dyDescent="0.35">
      <c r="A18" s="111" t="s">
        <v>538</v>
      </c>
      <c r="B18" s="23" t="s">
        <v>533</v>
      </c>
      <c r="C18" s="23" t="s">
        <v>398</v>
      </c>
      <c r="D18" s="23" t="s">
        <v>535</v>
      </c>
      <c r="E18" s="23" t="s">
        <v>398</v>
      </c>
      <c r="F18" s="23" t="s">
        <v>615</v>
      </c>
      <c r="G18" s="23" t="s">
        <v>11</v>
      </c>
    </row>
    <row r="19" spans="1:11" ht="16.5" x14ac:dyDescent="0.45">
      <c r="A19" s="23" t="s">
        <v>532</v>
      </c>
      <c r="B19" s="23">
        <v>0.5</v>
      </c>
      <c r="C19" s="23" t="s">
        <v>534</v>
      </c>
      <c r="D19" s="23">
        <f>10^(-0.5558*LOG10(B19)-1.8462)*1000</f>
        <v>20.946548497059418</v>
      </c>
      <c r="E19" s="23" t="s">
        <v>774</v>
      </c>
      <c r="F19" s="115">
        <f>D19*Electrolyzer!F22/1000*'Base operation parameters'!C8/1000000*0.75</f>
        <v>1.5709911372794561</v>
      </c>
      <c r="G19" s="23" t="s">
        <v>779</v>
      </c>
    </row>
    <row r="20" spans="1:11" x14ac:dyDescent="0.35">
      <c r="A20" s="23" t="s">
        <v>536</v>
      </c>
      <c r="B20" s="23">
        <v>11988.8150606094</v>
      </c>
      <c r="C20" s="23" t="s">
        <v>540</v>
      </c>
      <c r="D20" s="23">
        <f>(2664000+141000)*(B20/8772.75)</f>
        <v>3833304.9779156325</v>
      </c>
      <c r="E20" s="23" t="s">
        <v>253</v>
      </c>
      <c r="F20" s="115">
        <f>D20/1000000</f>
        <v>3.8333049779156325</v>
      </c>
      <c r="G20" s="23" t="s">
        <v>539</v>
      </c>
    </row>
    <row r="21" spans="1:11" x14ac:dyDescent="0.35">
      <c r="A21" s="23" t="s">
        <v>676</v>
      </c>
      <c r="B21" s="113">
        <v>0.05</v>
      </c>
      <c r="C21" s="23" t="s">
        <v>762</v>
      </c>
      <c r="F21" s="23">
        <f>B21*10</f>
        <v>0.5</v>
      </c>
      <c r="G21" s="23" t="s">
        <v>285</v>
      </c>
    </row>
    <row r="23" spans="1:11" x14ac:dyDescent="0.35">
      <c r="A23" s="111" t="s">
        <v>758</v>
      </c>
      <c r="B23" s="23" t="s">
        <v>732</v>
      </c>
      <c r="C23" s="111" t="s">
        <v>899</v>
      </c>
      <c r="E23" s="23" t="s">
        <v>744</v>
      </c>
    </row>
    <row r="24" spans="1:11" ht="29" x14ac:dyDescent="0.35">
      <c r="A24" s="23" t="s">
        <v>731</v>
      </c>
      <c r="B24" s="115">
        <f>G27*G25/1000000</f>
        <v>4.3599999999999994</v>
      </c>
      <c r="C24" s="115">
        <f>G27*G25/1000000</f>
        <v>4.3599999999999994</v>
      </c>
      <c r="E24" s="111" t="s">
        <v>724</v>
      </c>
      <c r="F24" s="111" t="s">
        <v>725</v>
      </c>
      <c r="G24" s="23" t="s">
        <v>752</v>
      </c>
      <c r="I24" s="111" t="s">
        <v>421</v>
      </c>
      <c r="J24" s="111" t="s">
        <v>733</v>
      </c>
      <c r="K24" s="111" t="s">
        <v>743</v>
      </c>
    </row>
    <row r="25" spans="1:11" x14ac:dyDescent="0.35">
      <c r="A25" s="23" t="str" cm="1">
        <f t="array" ref="A25:A29">E28:E32</f>
        <v>Operating Supervision</v>
      </c>
      <c r="B25" s="115">
        <f>B24*G28</f>
        <v>0.65399999999999991</v>
      </c>
      <c r="C25" s="115">
        <f>C24*G28</f>
        <v>0.65399999999999991</v>
      </c>
      <c r="E25" s="23">
        <f>SUMPRODUCT(J25:J33,K25:K33)</f>
        <v>10.899999999999999</v>
      </c>
      <c r="F25" s="23">
        <v>5</v>
      </c>
      <c r="G25" s="23">
        <f>F25*E25</f>
        <v>54.499999999999993</v>
      </c>
      <c r="I25" s="23" t="s">
        <v>734</v>
      </c>
      <c r="J25" s="23">
        <v>0.15</v>
      </c>
      <c r="K25" s="23">
        <v>3</v>
      </c>
    </row>
    <row r="26" spans="1:11" x14ac:dyDescent="0.35">
      <c r="A26" s="23" t="str">
        <v>Operating supplies</v>
      </c>
      <c r="B26" s="115">
        <f ca="1">G29*B27</f>
        <v>1.2544012820052064</v>
      </c>
      <c r="C26" s="115">
        <f ca="1">G29*C27</f>
        <v>1.0551412335653099</v>
      </c>
      <c r="I26" s="23" t="s">
        <v>735</v>
      </c>
      <c r="J26" s="23">
        <v>0.35</v>
      </c>
      <c r="K26" s="23">
        <v>0</v>
      </c>
    </row>
    <row r="27" spans="1:11" x14ac:dyDescent="0.35">
      <c r="A27" s="23" t="str">
        <v>Maintenance supplies</v>
      </c>
      <c r="B27" s="115">
        <f ca="1">G30*C7</f>
        <v>8.3626752133680426</v>
      </c>
      <c r="C27" s="115">
        <f ca="1">G30*(I80-D3)</f>
        <v>7.0342748904354</v>
      </c>
      <c r="E27" s="23" t="s">
        <v>753</v>
      </c>
      <c r="F27" s="23" t="s">
        <v>165</v>
      </c>
      <c r="G27" s="23">
        <v>80000</v>
      </c>
      <c r="I27" s="23" t="s">
        <v>736</v>
      </c>
      <c r="J27" s="23">
        <v>0.2</v>
      </c>
      <c r="K27" s="23">
        <v>0</v>
      </c>
    </row>
    <row r="28" spans="1:11" ht="29" x14ac:dyDescent="0.35">
      <c r="A28" s="23" t="str">
        <v>Maintenance labor, supervision</v>
      </c>
      <c r="B28" s="115">
        <f ca="1">B27*G31</f>
        <v>10.035210256041651</v>
      </c>
      <c r="C28" s="115">
        <f ca="1">C27*G31</f>
        <v>8.4411298685224789</v>
      </c>
      <c r="E28" s="23" t="s">
        <v>746</v>
      </c>
      <c r="F28" s="23" t="s">
        <v>747</v>
      </c>
      <c r="G28" s="116">
        <v>0.15</v>
      </c>
      <c r="I28" s="23" t="s">
        <v>737</v>
      </c>
      <c r="J28" s="23">
        <v>0.5</v>
      </c>
      <c r="K28" s="23">
        <v>0</v>
      </c>
    </row>
    <row r="29" spans="1:11" x14ac:dyDescent="0.35">
      <c r="A29" s="23" t="str">
        <v>Laboratory charges</v>
      </c>
      <c r="B29" s="115">
        <f>G32*B24</f>
        <v>0.65399999999999991</v>
      </c>
      <c r="C29" s="115">
        <f>G32*C24</f>
        <v>0.65399999999999991</v>
      </c>
      <c r="E29" s="23" t="s">
        <v>748</v>
      </c>
      <c r="F29" s="23" t="s">
        <v>749</v>
      </c>
      <c r="G29" s="116">
        <v>0.15</v>
      </c>
      <c r="I29" s="23" t="s">
        <v>738</v>
      </c>
      <c r="J29" s="23">
        <v>0.25</v>
      </c>
      <c r="K29" s="23">
        <v>3</v>
      </c>
    </row>
    <row r="30" spans="1:11" x14ac:dyDescent="0.35">
      <c r="A30" s="23" t="s">
        <v>54</v>
      </c>
      <c r="B30" s="115">
        <f ca="1">'Base operation parameters'!C39*D3</f>
        <v>4.4477901657750243</v>
      </c>
      <c r="C30" s="115">
        <f ca="1">'Base operation parameters'!C39*D3</f>
        <v>4.4477901657750243</v>
      </c>
      <c r="E30" s="23" t="s">
        <v>750</v>
      </c>
      <c r="F30" s="23" t="s">
        <v>730</v>
      </c>
      <c r="G30" s="116">
        <v>3.5000000000000003E-2</v>
      </c>
      <c r="I30" s="23" t="s">
        <v>742</v>
      </c>
      <c r="J30" s="23">
        <v>0.15</v>
      </c>
      <c r="K30" s="23">
        <v>0</v>
      </c>
    </row>
    <row r="31" spans="1:11" x14ac:dyDescent="0.35">
      <c r="A31" s="23" t="s">
        <v>198</v>
      </c>
      <c r="B31" s="115">
        <f ca="1">SUM(B24:B30)</f>
        <v>29.768076917189926</v>
      </c>
      <c r="C31" s="115">
        <f ca="1">SUM(C24:C30)</f>
        <v>26.646336158298215</v>
      </c>
      <c r="E31" s="23" t="s">
        <v>745</v>
      </c>
      <c r="F31" s="23" t="s">
        <v>749</v>
      </c>
      <c r="G31" s="116">
        <v>1.2</v>
      </c>
      <c r="I31" s="23" t="s">
        <v>739</v>
      </c>
      <c r="J31" s="23">
        <v>0.1</v>
      </c>
      <c r="K31" s="23">
        <v>23</v>
      </c>
    </row>
    <row r="32" spans="1:11" x14ac:dyDescent="0.35">
      <c r="B32" s="115"/>
      <c r="E32" s="23" t="s">
        <v>751</v>
      </c>
      <c r="F32" s="23" t="s">
        <v>747</v>
      </c>
      <c r="G32" s="116">
        <v>0.15</v>
      </c>
      <c r="I32" s="23" t="s">
        <v>740</v>
      </c>
      <c r="J32" s="23">
        <v>0.35</v>
      </c>
      <c r="K32" s="23">
        <v>14</v>
      </c>
    </row>
    <row r="33" spans="1:34" ht="29" x14ac:dyDescent="0.35">
      <c r="A33" s="111" t="s">
        <v>763</v>
      </c>
      <c r="B33" s="23" t="s">
        <v>612</v>
      </c>
      <c r="E33" s="23" t="s">
        <v>765</v>
      </c>
      <c r="F33" s="23" t="s">
        <v>766</v>
      </c>
      <c r="G33" s="116">
        <v>0.22</v>
      </c>
      <c r="I33" s="23" t="s">
        <v>741</v>
      </c>
      <c r="J33" s="23">
        <v>0.5</v>
      </c>
      <c r="K33" s="23">
        <v>5</v>
      </c>
    </row>
    <row r="34" spans="1:34" x14ac:dyDescent="0.35">
      <c r="A34" s="23" t="s">
        <v>764</v>
      </c>
      <c r="B34" s="115">
        <f ca="1">G33*(B24+B28)</f>
        <v>3.166946256329163</v>
      </c>
      <c r="C34" s="23">
        <f ca="1">G33*(C24+C28)</f>
        <v>2.8162485710749454</v>
      </c>
      <c r="E34" s="23" t="str" cm="1">
        <f t="array" ref="E34:E36">A37:A39</f>
        <v>Administration</v>
      </c>
      <c r="F34" s="23" t="s">
        <v>771</v>
      </c>
      <c r="G34" s="116">
        <v>0.02</v>
      </c>
    </row>
    <row r="35" spans="1:34" x14ac:dyDescent="0.35">
      <c r="B35" s="115"/>
      <c r="E35" s="23" t="str">
        <v>Marketing &amp; sales</v>
      </c>
      <c r="F35" s="23" t="s">
        <v>771</v>
      </c>
      <c r="G35" s="116">
        <v>0.02</v>
      </c>
      <c r="O35" s="110" t="s">
        <v>820</v>
      </c>
      <c r="P35" s="23" t="s">
        <v>615</v>
      </c>
    </row>
    <row r="36" spans="1:34" ht="29" x14ac:dyDescent="0.35">
      <c r="A36" s="111" t="s">
        <v>767</v>
      </c>
      <c r="B36" s="23" t="s">
        <v>612</v>
      </c>
      <c r="E36" s="23" t="str">
        <v>R&amp;D</v>
      </c>
      <c r="F36" s="23" t="s">
        <v>771</v>
      </c>
      <c r="G36" s="116">
        <v>0.05</v>
      </c>
      <c r="O36" s="23" t="s">
        <v>819</v>
      </c>
      <c r="P36" s="115">
        <f ca="1">SUM(B24:B29,B34,B37:B39,C42:C46,B62)</f>
        <v>50.901644922728842</v>
      </c>
      <c r="Y36" s="110" t="s">
        <v>808</v>
      </c>
      <c r="Z36" s="110"/>
      <c r="AC36" s="110" t="s">
        <v>810</v>
      </c>
      <c r="AF36" s="110" t="s">
        <v>818</v>
      </c>
    </row>
    <row r="37" spans="1:34" ht="43.5" x14ac:dyDescent="0.35">
      <c r="A37" s="23" t="s">
        <v>768</v>
      </c>
      <c r="B37" s="115">
        <f>G34*$C$73</f>
        <v>1.5046883122088768</v>
      </c>
      <c r="C37" s="115">
        <f>G34*$C$73</f>
        <v>1.5046883122088768</v>
      </c>
      <c r="O37" s="23" t="s">
        <v>822</v>
      </c>
      <c r="P37" s="23" t="str" cm="1">
        <f t="array" ref="P37:U37">TRANSPOSE(A50:A55)</f>
        <v>LP-steam</v>
      </c>
      <c r="Q37" s="23" t="str">
        <v>MP-steam</v>
      </c>
      <c r="R37" s="23" t="str">
        <v>HP-steam</v>
      </c>
      <c r="S37" s="23" t="str">
        <v>Cooling water</v>
      </c>
      <c r="T37" s="23" t="str">
        <v>Chilled water</v>
      </c>
      <c r="U37" s="23" t="str">
        <v>Electricity</v>
      </c>
      <c r="V37" s="23" t="s">
        <v>823</v>
      </c>
      <c r="Y37" s="23" t="s">
        <v>395</v>
      </c>
      <c r="Z37" s="23" t="s">
        <v>541</v>
      </c>
      <c r="AA37" s="23" t="s">
        <v>811</v>
      </c>
      <c r="AC37" s="23" t="s">
        <v>615</v>
      </c>
      <c r="AD37" s="23" t="s">
        <v>811</v>
      </c>
      <c r="AF37" s="23" t="s">
        <v>817</v>
      </c>
      <c r="AG37" s="23" t="s">
        <v>615</v>
      </c>
      <c r="AH37" s="23" t="s">
        <v>811</v>
      </c>
    </row>
    <row r="38" spans="1:34" x14ac:dyDescent="0.35">
      <c r="A38" s="23" t="s">
        <v>769</v>
      </c>
      <c r="B38" s="115">
        <f>G35*$C$73</f>
        <v>1.5046883122088768</v>
      </c>
      <c r="C38" s="115">
        <f>G35*$C$73</f>
        <v>1.5046883122088768</v>
      </c>
      <c r="O38" s="23" t="str" cm="1">
        <f t="array" ref="O38:O43">Y38:Y43</f>
        <v>SOEC (+ HEXs)</v>
      </c>
      <c r="P38" s="115">
        <v>0</v>
      </c>
      <c r="Q38" s="115">
        <v>0</v>
      </c>
      <c r="R38" s="115">
        <v>0</v>
      </c>
      <c r="S38" s="115">
        <v>0</v>
      </c>
      <c r="T38" s="115">
        <v>0</v>
      </c>
      <c r="U38" s="115">
        <f ca="1">('Energy Integration'!F36+'Energy Integration'!F42)/'Energy Integration'!$F$43*Economics!C55</f>
        <v>13.511820236935341</v>
      </c>
      <c r="V38" s="115">
        <f ca="1">('Equipment list&amp;costing'!AB12/1000000)/Economics!$D$3*Economics!$B$30</f>
        <v>3.0262401271061403</v>
      </c>
      <c r="Y38" s="23" t="s">
        <v>861</v>
      </c>
      <c r="Z38" s="135">
        <f>(SUM('Equipment list&amp;costing'!AB7:AB11)*Economics!F6+'Equipment list&amp;costing'!AB12)/1000000</f>
        <v>186.19579068554742</v>
      </c>
      <c r="AA38" s="138">
        <f t="shared" ref="AA38:AA43" ca="1" si="0">Z38/$Z$44</f>
        <v>0.44667852181771633</v>
      </c>
      <c r="AB38" s="138"/>
      <c r="AC38" s="135">
        <f ca="1">AA38*$P$36+SUM(P38:V38)</f>
        <v>39.274731876216265</v>
      </c>
      <c r="AD38" s="138">
        <f t="shared" ref="AD38:AD43" ca="1" si="1">AC38/$AC$44</f>
        <v>0.38674645692592374</v>
      </c>
      <c r="AE38" s="135"/>
      <c r="AF38" s="135" t="str" cm="1">
        <f t="array" ref="AF38:AF41">A69:A72</f>
        <v>Acetic acid</v>
      </c>
      <c r="AG38" s="135" cm="1">
        <f t="array" ref="AG38:AG41">C69:C72</f>
        <v>40.527660882138029</v>
      </c>
      <c r="AH38" s="138">
        <f>AG38/$AG$42</f>
        <v>0.53868512905032906</v>
      </c>
    </row>
    <row r="39" spans="1:34" x14ac:dyDescent="0.35">
      <c r="A39" s="23" t="s">
        <v>770</v>
      </c>
      <c r="B39" s="115">
        <f>G36*$C$73</f>
        <v>3.7617207805221917</v>
      </c>
      <c r="C39" s="115">
        <f>G36*$C$73</f>
        <v>3.7617207805221917</v>
      </c>
      <c r="O39" s="23" t="str">
        <v>MEA (+ tanks)</v>
      </c>
      <c r="P39" s="115">
        <v>0</v>
      </c>
      <c r="Q39" s="115">
        <v>0</v>
      </c>
      <c r="R39" s="115">
        <v>0</v>
      </c>
      <c r="S39" s="115">
        <f ca="1">ABS(SUM('Energy Integration'!O7)*'Base operation parameters'!C8*0.0036)/B53*C53</f>
        <v>1.2346848324207051</v>
      </c>
      <c r="T39" s="115">
        <v>0</v>
      </c>
      <c r="U39" s="115">
        <f ca="1">'Energy Integration'!F37/'Energy Integration'!$F$43*Economics!C55</f>
        <v>19.203110510781993</v>
      </c>
      <c r="V39" s="115">
        <f ca="1">('Equipment list&amp;costing'!AB13/1000000)/Economics!$D$3*Economics!$B$30</f>
        <v>1.3358328159255459</v>
      </c>
      <c r="Y39" s="23" t="s">
        <v>862</v>
      </c>
      <c r="Z39" s="135">
        <f>('Equipment list&amp;costing'!AB13+SUM('Equipment list&amp;costing'!AB14:AB15)*Economics!F6)/1000000</f>
        <v>64.741486350963214</v>
      </c>
      <c r="AA39" s="138">
        <f t="shared" ca="1" si="0"/>
        <v>0.15531302462346577</v>
      </c>
      <c r="AB39" s="138"/>
      <c r="AC39" s="135">
        <f ca="1">AA39*$P$36+SUM(P39:V39)</f>
        <v>29.679316590386939</v>
      </c>
      <c r="AD39" s="138">
        <f t="shared" ca="1" si="1"/>
        <v>0.2922584060278699</v>
      </c>
      <c r="AE39" s="135"/>
      <c r="AF39" s="135" t="str">
        <v>Ethylene</v>
      </c>
      <c r="AG39" s="135">
        <v>10.167200625983831</v>
      </c>
      <c r="AH39" s="138">
        <f>AG39/$AG$42</f>
        <v>0.13514028843699091</v>
      </c>
    </row>
    <row r="40" spans="1:34" x14ac:dyDescent="0.35">
      <c r="B40" s="115"/>
      <c r="O40" s="23" t="str">
        <v>Gas separation</v>
      </c>
      <c r="P40" s="115">
        <v>0</v>
      </c>
      <c r="Q40" s="115">
        <v>0</v>
      </c>
      <c r="R40" s="115">
        <v>0</v>
      </c>
      <c r="S40" s="115">
        <v>0</v>
      </c>
      <c r="T40" s="115">
        <v>0</v>
      </c>
      <c r="U40" s="115">
        <v>0</v>
      </c>
      <c r="V40" s="115">
        <v>0</v>
      </c>
      <c r="Y40" s="23" t="s">
        <v>809</v>
      </c>
      <c r="Z40" s="135">
        <f>SUM(D13:D14)</f>
        <v>35.126014278550258</v>
      </c>
      <c r="AA40" s="138">
        <f t="shared" ca="1" si="0"/>
        <v>8.426633103531643E-2</v>
      </c>
      <c r="AB40" s="138"/>
      <c r="AC40" s="135">
        <f ca="1">AA40*$P$36+SUM(P40:V40)+SUM(F19:F20)</f>
        <v>9.6935909764958907</v>
      </c>
      <c r="AD40" s="138">
        <f t="shared" ca="1" si="1"/>
        <v>9.5454807352081839E-2</v>
      </c>
      <c r="AE40" s="135"/>
      <c r="AF40" s="135" t="str">
        <v>Hydrogen</v>
      </c>
      <c r="AG40" s="135">
        <v>6.6317395991827626</v>
      </c>
      <c r="AH40" s="138">
        <f>AG40/$AG$42</f>
        <v>8.8147685409311047E-2</v>
      </c>
    </row>
    <row r="41" spans="1:34" x14ac:dyDescent="0.35">
      <c r="A41" s="111" t="s">
        <v>609</v>
      </c>
      <c r="B41" s="23" t="s">
        <v>610</v>
      </c>
      <c r="C41" s="23" t="s">
        <v>612</v>
      </c>
      <c r="D41" s="23" t="s">
        <v>877</v>
      </c>
      <c r="O41" s="23" t="str">
        <v>Liquid separation</v>
      </c>
      <c r="P41" s="115">
        <f ca="1">C50</f>
        <v>0.14516464714526248</v>
      </c>
      <c r="Q41" s="115">
        <v>0</v>
      </c>
      <c r="R41" s="115">
        <v>0</v>
      </c>
      <c r="S41" s="115">
        <f ca="1">ABS(SUM('Energy Integration'!O8,'Energy Integration'!O9,'Energy Integration'!O13,'Energy Integration'!O19,'Energy Integration'!O20)*'Base operation parameters'!$C$8*0.0036)/B53*C53</f>
        <v>0.44334778787549267</v>
      </c>
      <c r="T41" s="115">
        <f ca="1">ABS(SUM('Energy Integration'!O10,'Energy Integration'!O21)*'Base operation parameters'!C8*0.0036)/B54*C54</f>
        <v>0.27427595387646875</v>
      </c>
      <c r="U41" s="115">
        <f ca="1">'Energy Integration'!F38/'Energy Integration'!$F$43*Economics!C55</f>
        <v>0.86069353599999976</v>
      </c>
      <c r="V41" s="115">
        <v>0</v>
      </c>
      <c r="Y41" s="23" t="s">
        <v>556</v>
      </c>
      <c r="Z41" s="135">
        <f ca="1">SUM('Equipment list&amp;costing'!AB16:AB35)*Economics!F6/1000000</f>
        <v>58.200630096360406</v>
      </c>
      <c r="AA41" s="138">
        <f t="shared" ca="1" si="0"/>
        <v>0.13962169243775419</v>
      </c>
      <c r="AB41" s="138"/>
      <c r="AC41" s="135">
        <f ca="1">AA41*$P$36+SUM(P41:V41)</f>
        <v>8.8304557368742422</v>
      </c>
      <c r="AD41" s="138">
        <f t="shared" ca="1" si="1"/>
        <v>8.6955335049541949E-2</v>
      </c>
      <c r="AE41" s="135"/>
      <c r="AF41" s="135" t="str">
        <v>Chlorine</v>
      </c>
      <c r="AG41" s="135">
        <v>17.907814503139203</v>
      </c>
      <c r="AH41" s="138">
        <f>AG41/$AG$42</f>
        <v>0.23802689710336888</v>
      </c>
    </row>
    <row r="42" spans="1:34" ht="30" x14ac:dyDescent="0.45">
      <c r="A42" s="23" t="s">
        <v>611</v>
      </c>
      <c r="B42" s="117">
        <v>100000</v>
      </c>
      <c r="C42" s="115">
        <f>B42*Economics!J51/1000000</f>
        <v>3.2251629995326243</v>
      </c>
      <c r="D42" s="117">
        <f>B42</f>
        <v>100000</v>
      </c>
      <c r="O42" s="23" t="str">
        <v>Electrolyte recovery</v>
      </c>
      <c r="P42" s="115">
        <v>0</v>
      </c>
      <c r="Q42" s="115">
        <v>0</v>
      </c>
      <c r="R42" s="115">
        <v>0</v>
      </c>
      <c r="S42" s="115">
        <f ca="1">ABS(SUM('Energy Integration'!O28)*'Base operation parameters'!$C$8*0.0036)/B53*C53</f>
        <v>2.4855707520000006E-2</v>
      </c>
      <c r="T42" s="115">
        <f ca="1">ABS(SUM('Energy Integration'!O23)*'Base operation parameters'!C8*0.0036)/B54*C54</f>
        <v>7.1920871999999983E-2</v>
      </c>
      <c r="U42" s="115">
        <f ca="1">'Energy Integration'!F39/'Energy Integration'!$F$43*$C$55</f>
        <v>3.87240159216964</v>
      </c>
      <c r="V42" s="115">
        <f ca="1">('Equipment list&amp;costing'!AB43/1000000)/Economics!$D$3*Economics!$B$30</f>
        <v>8.57172227433384E-2</v>
      </c>
      <c r="Y42" s="23" t="s">
        <v>575</v>
      </c>
      <c r="Z42" s="135">
        <f>SUM('Equipment list&amp;costing'!AB36:AB42,'Equipment list&amp;costing'!AB45)*Economics!F6/1000000+'Equipment list&amp;costing'!AB43/1000000+D15</f>
        <v>54.382402524170168</v>
      </c>
      <c r="AA42" s="138">
        <f t="shared" ca="1" si="0"/>
        <v>0.13046187071659662</v>
      </c>
      <c r="AB42" s="138"/>
      <c r="AC42" s="135">
        <f ca="1">AA42*$P$36+SUM(P42:V42)+F21</f>
        <v>11.195619213604136</v>
      </c>
      <c r="AD42" s="138">
        <f t="shared" ca="1" si="1"/>
        <v>0.11024559193936212</v>
      </c>
      <c r="AE42" s="135"/>
      <c r="AF42" s="136" t="s">
        <v>198</v>
      </c>
      <c r="AG42" s="135">
        <f>SUM(_xlfn.ANCHORARRAY(AG38))</f>
        <v>75.234415610443833</v>
      </c>
      <c r="AH42" s="135"/>
    </row>
    <row r="43" spans="1:34" x14ac:dyDescent="0.35">
      <c r="A43" s="23" t="s">
        <v>295</v>
      </c>
      <c r="B43" s="117">
        <f>0.12*'Base operation parameters'!C8</f>
        <v>960</v>
      </c>
      <c r="C43" s="115">
        <f>B43*Economics!J52/1000000</f>
        <v>0.66239999999999999</v>
      </c>
      <c r="O43" s="23" t="str">
        <v>Heat pump</v>
      </c>
      <c r="P43" s="115">
        <v>0</v>
      </c>
      <c r="Q43" s="115">
        <v>0</v>
      </c>
      <c r="R43" s="115">
        <v>0</v>
      </c>
      <c r="S43" s="115">
        <v>0</v>
      </c>
      <c r="T43" s="115">
        <v>0</v>
      </c>
      <c r="U43" s="115">
        <f ca="1">SUM('Energy Integration'!F40:F41)/'Energy Integration'!$F$43*$C$55</f>
        <v>0.65561996159999991</v>
      </c>
      <c r="V43" s="115">
        <v>0</v>
      </c>
      <c r="Y43" s="23" t="s">
        <v>639</v>
      </c>
      <c r="Z43" s="135">
        <f>SUM('Equipment list&amp;costing'!AB46:AB49,'Equipment list&amp;costing'!AB44)*Economics!F6/1000000</f>
        <v>18.198860220210609</v>
      </c>
      <c r="AA43" s="138">
        <f t="shared" ca="1" si="0"/>
        <v>4.3658559369150619E-2</v>
      </c>
      <c r="AB43" s="138"/>
      <c r="AC43" s="135">
        <f ca="1">AA43*$P$36+SUM(P43:V43)</f>
        <v>2.8779124484463812</v>
      </c>
      <c r="AD43" s="138">
        <f t="shared" ca="1" si="1"/>
        <v>2.8339402705220375E-2</v>
      </c>
      <c r="AE43" s="135"/>
      <c r="AF43" s="135"/>
      <c r="AG43" s="135"/>
      <c r="AH43" s="135"/>
    </row>
    <row r="44" spans="1:34" x14ac:dyDescent="0.35">
      <c r="A44" s="23" t="s">
        <v>613</v>
      </c>
      <c r="B44" s="117">
        <f>(26329.6693495189+10325.3835276801+9899.92249112001+811.594589330091+4666.89278100002)*'Base operation parameters'!C8/1000</f>
        <v>416267.7019091929</v>
      </c>
      <c r="C44" s="115">
        <f>B44*Economics!J53/1000000</f>
        <v>0.41626770190919288</v>
      </c>
      <c r="O44" s="132" t="s">
        <v>198</v>
      </c>
      <c r="P44" s="153">
        <f ca="1">SUM(P38:P43)</f>
        <v>0.14516464714526248</v>
      </c>
      <c r="Q44" s="153">
        <f t="shared" ref="Q44:R44" si="2">SUM(Q38:Q43)</f>
        <v>0</v>
      </c>
      <c r="R44" s="153">
        <f t="shared" si="2"/>
        <v>0</v>
      </c>
      <c r="S44" s="153">
        <f ca="1">SUM(S38:S43)</f>
        <v>1.7028883278161979</v>
      </c>
      <c r="T44" s="153">
        <f ca="1">SUM(T38:T43)</f>
        <v>0.34619682587646872</v>
      </c>
      <c r="U44" s="153">
        <f ca="1">SUM(U38:U43)</f>
        <v>38.103645837486972</v>
      </c>
      <c r="V44" s="153">
        <f ca="1">SUM(V38:V43)</f>
        <v>4.4477901657750243</v>
      </c>
      <c r="Y44" s="111" t="s">
        <v>198</v>
      </c>
      <c r="Z44" s="136">
        <f ca="1">SUM(Z38:Z43)</f>
        <v>416.84518415580209</v>
      </c>
      <c r="AA44" s="139">
        <f ca="1">SUM(AA38:AA43)</f>
        <v>1</v>
      </c>
      <c r="AB44" s="139"/>
      <c r="AC44" s="136">
        <f ca="1">SUM(AC38:AC43)</f>
        <v>101.55162684202386</v>
      </c>
      <c r="AD44" s="139">
        <f ca="1">SUM(AD38:AD43)</f>
        <v>1</v>
      </c>
      <c r="AE44" s="135"/>
      <c r="AF44" s="135"/>
      <c r="AG44" s="135"/>
      <c r="AH44" s="135"/>
    </row>
    <row r="45" spans="1:34" x14ac:dyDescent="0.35">
      <c r="A45" s="23" t="s">
        <v>614</v>
      </c>
      <c r="B45" s="117">
        <f>12238.9615196108*'Base operation parameters'!C8/1000</f>
        <v>97911.692156886405</v>
      </c>
      <c r="C45" s="115">
        <f>B45*Economics!J54/1000000</f>
        <v>10.672374445100619</v>
      </c>
      <c r="J45" s="115"/>
    </row>
    <row r="46" spans="1:34" ht="29" x14ac:dyDescent="0.35">
      <c r="A46" s="23" t="s">
        <v>616</v>
      </c>
      <c r="B46" s="117">
        <f>22.3297*'Base operation parameters'!C8/1000</f>
        <v>178.63759999999999</v>
      </c>
      <c r="C46" s="115">
        <f>B46*Economics!J55/1000000</f>
        <v>0.23044250399999999</v>
      </c>
      <c r="V46" s="137"/>
      <c r="AC46" s="110" t="s">
        <v>904</v>
      </c>
      <c r="AD46" s="23" t="s">
        <v>615</v>
      </c>
    </row>
    <row r="47" spans="1:34" ht="29" x14ac:dyDescent="0.35">
      <c r="A47" s="23" t="s">
        <v>198</v>
      </c>
      <c r="B47" s="117"/>
      <c r="C47" s="115">
        <f>SUM(C42:C46)</f>
        <v>15.206647650542436</v>
      </c>
      <c r="AC47" s="23" t="s">
        <v>910</v>
      </c>
      <c r="AD47" s="115">
        <f>C47</f>
        <v>15.206647650542436</v>
      </c>
    </row>
    <row r="48" spans="1:34" x14ac:dyDescent="0.35">
      <c r="B48" s="117"/>
      <c r="C48" s="115"/>
      <c r="D48" s="185" t="s">
        <v>899</v>
      </c>
      <c r="E48" s="185"/>
      <c r="U48" s="183" t="s">
        <v>795</v>
      </c>
      <c r="V48" s="183"/>
      <c r="W48" s="183"/>
      <c r="Y48" s="155"/>
      <c r="Z48" s="155"/>
      <c r="AA48" s="155"/>
      <c r="AB48" s="183" t="s">
        <v>523</v>
      </c>
      <c r="AC48" s="23" t="s">
        <v>604</v>
      </c>
      <c r="AD48" s="115">
        <f ca="1">C55</f>
        <v>38.103645837486972</v>
      </c>
    </row>
    <row r="49" spans="1:30" x14ac:dyDescent="0.35">
      <c r="A49" s="111" t="s">
        <v>523</v>
      </c>
      <c r="B49" s="23" t="s">
        <v>618</v>
      </c>
      <c r="C49" s="23" t="s">
        <v>612</v>
      </c>
      <c r="D49" s="23" t="s">
        <v>618</v>
      </c>
      <c r="E49" s="23" t="s">
        <v>612</v>
      </c>
      <c r="I49" s="110" t="s">
        <v>821</v>
      </c>
      <c r="J49"/>
      <c r="N49" s="23" t="s">
        <v>143</v>
      </c>
      <c r="O49" s="110" t="s">
        <v>797</v>
      </c>
      <c r="P49" s="23" t="s">
        <v>10</v>
      </c>
      <c r="Q49" s="124">
        <v>-0.3</v>
      </c>
      <c r="R49" s="23" t="s">
        <v>799</v>
      </c>
      <c r="S49" s="124">
        <v>0.3</v>
      </c>
      <c r="U49" s="124">
        <v>-0.3</v>
      </c>
      <c r="V49" s="23" t="s">
        <v>799</v>
      </c>
      <c r="W49" s="124">
        <v>0.3</v>
      </c>
      <c r="Y49" s="124"/>
      <c r="AA49" s="124"/>
      <c r="AB49" s="183"/>
      <c r="AC49" s="23" t="s">
        <v>905</v>
      </c>
      <c r="AD49" s="115">
        <f ca="1">C50</f>
        <v>0.14516464714526248</v>
      </c>
    </row>
    <row r="50" spans="1:30" ht="29" x14ac:dyDescent="0.35">
      <c r="A50" s="23" t="s">
        <v>619</v>
      </c>
      <c r="B50" s="112" cm="1">
        <f t="array" aca="1" ref="B50:B55" ca="1">TRANSPOSE('Energy Integration'!C46:H46)</f>
        <v>24194.107857543746</v>
      </c>
      <c r="C50" s="135" cm="1">
        <f t="array" aca="1" ref="C50:C55" ca="1">TRANSPOSE('Energy Integration'!C47:H47)</f>
        <v>0.14516464714526248</v>
      </c>
      <c r="D50" s="23">
        <f ca="1">B50+SUM('Energy Integration'!W15,'Energy Integration'!M15,'Energy Integration'!F14,'Energy Integration'!M24)*'Base operation parameters'!C8/277.77778</f>
        <v>754531.91788684123</v>
      </c>
      <c r="E50" s="115">
        <f ca="1">D50*'Base operation parameters'!C33/1000000</f>
        <v>4.5271915073210476</v>
      </c>
      <c r="I50" s="5" t="s">
        <v>609</v>
      </c>
      <c r="J50" s="107">
        <v>46113</v>
      </c>
      <c r="K50" s="23" t="s">
        <v>799</v>
      </c>
      <c r="O50" s="23" t="s">
        <v>798</v>
      </c>
      <c r="P50" s="23" t="s">
        <v>800</v>
      </c>
      <c r="Q50" s="23">
        <f t="shared" ref="Q50:Q55" si="3">(1+Q$49)*R50</f>
        <v>3.4999999999999996E-2</v>
      </c>
      <c r="R50" s="23">
        <v>0.05</v>
      </c>
      <c r="S50" s="23">
        <f t="shared" ref="S50:S55" si="4">(1+S$49)*R50</f>
        <v>6.5000000000000002E-2</v>
      </c>
      <c r="T50" s="23" t="s">
        <v>798</v>
      </c>
      <c r="U50" s="117">
        <v>-572.87133618055486</v>
      </c>
      <c r="V50" s="117">
        <v>-670.19068121832242</v>
      </c>
      <c r="W50" s="117">
        <v>-767.51002625609021</v>
      </c>
      <c r="X50" s="117"/>
      <c r="Y50" s="117"/>
      <c r="Z50" s="117"/>
      <c r="AA50" s="117"/>
      <c r="AB50" s="183"/>
      <c r="AC50" s="23" t="s">
        <v>878</v>
      </c>
      <c r="AD50" s="115">
        <f ca="1">SUM(C53:C54)</f>
        <v>2.0490851536926664</v>
      </c>
    </row>
    <row r="51" spans="1:30" ht="29" x14ac:dyDescent="0.35">
      <c r="A51" s="23" t="s">
        <v>617</v>
      </c>
      <c r="B51" s="112">
        <f ca="1"/>
        <v>0</v>
      </c>
      <c r="C51" s="135">
        <f ca="1"/>
        <v>0</v>
      </c>
      <c r="D51" s="23">
        <v>0</v>
      </c>
      <c r="E51" s="115">
        <f>D51*'Base operation parameters'!C34</f>
        <v>0</v>
      </c>
      <c r="I51" t="s">
        <v>707</v>
      </c>
      <c r="J51" s="46">
        <f>K51</f>
        <v>32.25162999532624</v>
      </c>
      <c r="K51" s="23">
        <f>10^(-0.5558*LOG10('Base operation parameters'!C7)-1.8462)*1000</f>
        <v>32.25162999532624</v>
      </c>
      <c r="N51" s="23">
        <v>100</v>
      </c>
      <c r="O51" s="23" t="s">
        <v>806</v>
      </c>
      <c r="P51" s="23" t="s">
        <v>805</v>
      </c>
      <c r="Q51" s="113">
        <f t="shared" si="3"/>
        <v>0.7</v>
      </c>
      <c r="R51" s="113">
        <v>1</v>
      </c>
      <c r="S51" s="113">
        <f t="shared" si="4"/>
        <v>1.3</v>
      </c>
      <c r="T51" s="23" t="s">
        <v>806</v>
      </c>
      <c r="U51" s="117">
        <v>-845.05072782092157</v>
      </c>
      <c r="V51" s="117">
        <v>-670.19068121832242</v>
      </c>
      <c r="W51" s="117">
        <v>-495.33063461572362</v>
      </c>
      <c r="X51" s="117"/>
      <c r="Y51" s="140"/>
      <c r="Z51" s="117"/>
      <c r="AA51" s="117"/>
      <c r="AB51" s="183"/>
      <c r="AC51" s="23" t="s">
        <v>859</v>
      </c>
      <c r="AD51" s="115">
        <f>B62</f>
        <v>0.43666685950239481</v>
      </c>
    </row>
    <row r="52" spans="1:30" ht="58" x14ac:dyDescent="0.35">
      <c r="A52" s="23" t="s">
        <v>620</v>
      </c>
      <c r="B52" s="112">
        <f ca="1"/>
        <v>0</v>
      </c>
      <c r="C52" s="135">
        <f ca="1"/>
        <v>0</v>
      </c>
      <c r="D52" s="23">
        <v>0</v>
      </c>
      <c r="E52" s="115">
        <f>D52*'Base operation parameters'!C35</f>
        <v>0</v>
      </c>
      <c r="I52" t="s">
        <v>295</v>
      </c>
      <c r="J52">
        <v>690</v>
      </c>
      <c r="O52" s="23" t="s">
        <v>913</v>
      </c>
      <c r="P52" s="23" t="s">
        <v>336</v>
      </c>
      <c r="Q52" s="23">
        <f t="shared" si="3"/>
        <v>1050</v>
      </c>
      <c r="R52" s="23">
        <v>1500</v>
      </c>
      <c r="S52" s="23">
        <f t="shared" si="4"/>
        <v>1950</v>
      </c>
      <c r="T52" s="23" t="s">
        <v>825</v>
      </c>
      <c r="U52" s="117">
        <v>-648.30261410978073</v>
      </c>
      <c r="V52" s="117">
        <v>-670.19068121832242</v>
      </c>
      <c r="W52" s="117">
        <v>-692.07874832686423</v>
      </c>
      <c r="X52" s="117"/>
      <c r="Y52" s="117"/>
      <c r="Z52" s="117"/>
      <c r="AA52" s="140"/>
      <c r="AC52" s="23" t="s">
        <v>906</v>
      </c>
      <c r="AD52" s="115">
        <f ca="1">SUM(B24:B26,B29)</f>
        <v>6.9224012820052057</v>
      </c>
    </row>
    <row r="53" spans="1:30" ht="29" x14ac:dyDescent="0.35">
      <c r="A53" s="23" t="s">
        <v>621</v>
      </c>
      <c r="B53" s="112">
        <f ca="1"/>
        <v>1135258.8852107984</v>
      </c>
      <c r="C53" s="135">
        <f ca="1"/>
        <v>1.7028883278161977</v>
      </c>
      <c r="D53" s="23">
        <f ca="1">B53+SUM('Energy Integration'!M27,'Energy Integration'!F14)*'Base operation parameters'!C8/277.7778</f>
        <v>1655698.7590956083</v>
      </c>
      <c r="E53" s="115">
        <f ca="1">D53*'Base operation parameters'!C36/1000000</f>
        <v>2.4835481386434122</v>
      </c>
      <c r="I53" t="s">
        <v>613</v>
      </c>
      <c r="J53">
        <v>1</v>
      </c>
      <c r="O53" s="23" t="s">
        <v>914</v>
      </c>
      <c r="P53" s="23" t="s">
        <v>804</v>
      </c>
      <c r="Q53" s="23">
        <f t="shared" si="3"/>
        <v>560</v>
      </c>
      <c r="R53" s="23">
        <v>800</v>
      </c>
      <c r="S53" s="23">
        <f t="shared" si="4"/>
        <v>1040</v>
      </c>
      <c r="T53" s="23" t="s">
        <v>824</v>
      </c>
      <c r="U53" s="117">
        <v>-623.59468024273576</v>
      </c>
      <c r="V53" s="117">
        <v>-670.19068121832242</v>
      </c>
      <c r="W53" s="117">
        <v>-716.7866821939092</v>
      </c>
      <c r="X53" s="117"/>
      <c r="Y53" s="140"/>
      <c r="Z53" s="117"/>
      <c r="AA53" s="140"/>
      <c r="AC53" s="23" t="s">
        <v>907</v>
      </c>
      <c r="AD53" s="115">
        <f ca="1">SUM(B27:B28,B30)</f>
        <v>22.845675635184719</v>
      </c>
    </row>
    <row r="54" spans="1:30" ht="29" x14ac:dyDescent="0.35">
      <c r="A54" s="23" t="s">
        <v>637</v>
      </c>
      <c r="B54" s="112">
        <f ca="1"/>
        <v>76932.627972548624</v>
      </c>
      <c r="C54" s="135">
        <f ca="1"/>
        <v>0.34619682587646877</v>
      </c>
      <c r="D54" s="112">
        <f ca="1">B54</f>
        <v>76932.627972548624</v>
      </c>
      <c r="E54" s="115">
        <f ca="1">D54*'Base operation parameters'!C37/1000000</f>
        <v>0.34619682587646877</v>
      </c>
      <c r="I54" t="s">
        <v>614</v>
      </c>
      <c r="J54">
        <v>109</v>
      </c>
      <c r="N54" s="23">
        <v>200</v>
      </c>
      <c r="O54" s="23" t="s">
        <v>801</v>
      </c>
      <c r="P54" s="23" t="s">
        <v>802</v>
      </c>
      <c r="Q54">
        <f t="shared" si="3"/>
        <v>140</v>
      </c>
      <c r="R54">
        <v>200</v>
      </c>
      <c r="S54">
        <f t="shared" si="4"/>
        <v>260</v>
      </c>
      <c r="T54" s="23" t="s">
        <v>801</v>
      </c>
      <c r="U54" s="117">
        <v>-699.57389725053974</v>
      </c>
      <c r="V54" s="117">
        <v>-670.19068121832242</v>
      </c>
      <c r="W54" s="117">
        <v>-654.36894950866656</v>
      </c>
      <c r="X54" s="117"/>
      <c r="Y54" s="140"/>
      <c r="Z54" s="117"/>
      <c r="AA54" s="140"/>
      <c r="AC54" s="23" t="s">
        <v>908</v>
      </c>
      <c r="AD54" s="115">
        <f ca="1">B34</f>
        <v>3.166946256329163</v>
      </c>
    </row>
    <row r="55" spans="1:30" ht="29" x14ac:dyDescent="0.35">
      <c r="A55" s="23" t="s">
        <v>604</v>
      </c>
      <c r="B55" s="112">
        <f ca="1"/>
        <v>762072916.74973953</v>
      </c>
      <c r="C55" s="115">
        <f ca="1"/>
        <v>38.103645837486972</v>
      </c>
      <c r="D55" s="23">
        <f>SUM('Energy Integration'!F36:F37,'Energy Integration'!F39,'Energy Integration'!F42)*'Base operation parameters'!C8</f>
        <v>731746646.79773951</v>
      </c>
      <c r="E55" s="115">
        <f>D55*'Base operation parameters'!C32/1000000</f>
        <v>36.587332339886977</v>
      </c>
      <c r="I55" t="s">
        <v>616</v>
      </c>
      <c r="J55">
        <v>1290</v>
      </c>
      <c r="N55" s="23">
        <v>2.19</v>
      </c>
      <c r="O55" s="23" t="s">
        <v>864</v>
      </c>
      <c r="P55" s="23" t="s">
        <v>29</v>
      </c>
      <c r="Q55">
        <f t="shared" si="3"/>
        <v>1.5329999999999999</v>
      </c>
      <c r="R55" s="23">
        <v>2.19</v>
      </c>
      <c r="S55">
        <f t="shared" si="4"/>
        <v>2.847</v>
      </c>
      <c r="T55" s="23" t="s">
        <v>864</v>
      </c>
      <c r="U55" s="117">
        <v>-615.84763401257419</v>
      </c>
      <c r="V55" s="117">
        <v>-670.19068121832242</v>
      </c>
      <c r="W55" s="117">
        <v>-724.53372842407055</v>
      </c>
      <c r="AC55" s="23" t="s">
        <v>909</v>
      </c>
      <c r="AD55" s="115">
        <f>SUM(B37:B39)</f>
        <v>6.7710974049399457</v>
      </c>
    </row>
    <row r="56" spans="1:30" x14ac:dyDescent="0.35">
      <c r="A56" s="23" t="s">
        <v>198</v>
      </c>
      <c r="B56" s="112"/>
      <c r="C56" s="115">
        <f ca="1">SUM(_xlfn.ANCHORARRAY(C50))</f>
        <v>40.297895638324903</v>
      </c>
      <c r="E56" s="115">
        <f ca="1">SUM(E50:E55)</f>
        <v>43.944268811727909</v>
      </c>
      <c r="I56"/>
      <c r="J56"/>
      <c r="AC56" s="23" t="s">
        <v>911</v>
      </c>
      <c r="AD56" s="115">
        <f>SUM(F19:F21)</f>
        <v>5.9042961151950886</v>
      </c>
    </row>
    <row r="57" spans="1:30" x14ac:dyDescent="0.35">
      <c r="C57" s="115"/>
      <c r="I57" s="5" t="s">
        <v>708</v>
      </c>
      <c r="J57"/>
      <c r="K57" s="23" t="s">
        <v>799</v>
      </c>
      <c r="AC57" s="23" t="s">
        <v>198</v>
      </c>
      <c r="AD57" s="115">
        <f ca="1">SUM(AD47:AD56)</f>
        <v>101.55162684202388</v>
      </c>
    </row>
    <row r="58" spans="1:30" ht="43.5" x14ac:dyDescent="0.35">
      <c r="A58" s="111" t="s">
        <v>859</v>
      </c>
      <c r="I58" t="s">
        <v>380</v>
      </c>
      <c r="J58">
        <f>$N$51%*K58</f>
        <v>760</v>
      </c>
      <c r="K58">
        <v>760</v>
      </c>
      <c r="M58" s="154"/>
      <c r="O58" s="110" t="s">
        <v>891</v>
      </c>
      <c r="Q58" s="23" t="s">
        <v>799</v>
      </c>
      <c r="R58" s="23" t="s">
        <v>803</v>
      </c>
      <c r="S58" s="23" t="s">
        <v>13</v>
      </c>
    </row>
    <row r="59" spans="1:30" x14ac:dyDescent="0.35">
      <c r="A59" s="23" t="s">
        <v>851</v>
      </c>
      <c r="B59" s="150">
        <f>(35588.9049585329+800)/1000*'Base operation parameters'!C8</f>
        <v>291111.23966826318</v>
      </c>
      <c r="I59" t="s">
        <v>76</v>
      </c>
      <c r="J59">
        <f t="shared" ref="J59:J61" si="5">$N$51%*K59</f>
        <v>1450</v>
      </c>
      <c r="K59">
        <f>1450</f>
        <v>1450</v>
      </c>
      <c r="O59" s="23" t="s">
        <v>798</v>
      </c>
      <c r="P59" s="23" t="s">
        <v>800</v>
      </c>
      <c r="Q59" s="23">
        <v>0.05</v>
      </c>
      <c r="R59" s="23">
        <v>0.02</v>
      </c>
      <c r="S59" s="23">
        <v>0.08</v>
      </c>
    </row>
    <row r="60" spans="1:30" x14ac:dyDescent="0.35">
      <c r="A60" t="s">
        <v>852</v>
      </c>
      <c r="B60">
        <v>1.5</v>
      </c>
      <c r="C60" t="s">
        <v>636</v>
      </c>
      <c r="I60" t="s">
        <v>81</v>
      </c>
      <c r="J60">
        <f t="shared" si="5"/>
        <v>3490</v>
      </c>
      <c r="K60">
        <f>3490</f>
        <v>3490</v>
      </c>
      <c r="O60" s="23" t="s">
        <v>806</v>
      </c>
      <c r="P60" s="23" t="s">
        <v>869</v>
      </c>
      <c r="Q60" s="113">
        <v>1</v>
      </c>
      <c r="R60" s="113">
        <v>1.3</v>
      </c>
      <c r="S60" s="113">
        <v>0.7</v>
      </c>
    </row>
    <row r="61" spans="1:30" ht="29" x14ac:dyDescent="0.35">
      <c r="A61" s="23" t="s">
        <v>853</v>
      </c>
      <c r="B61" s="115">
        <f>B60*B59/1000000</f>
        <v>0.43666685950239481</v>
      </c>
      <c r="I61" t="s">
        <v>302</v>
      </c>
      <c r="J61">
        <f t="shared" si="5"/>
        <v>570</v>
      </c>
      <c r="K61">
        <f>570</f>
        <v>570</v>
      </c>
      <c r="O61" s="23" t="s">
        <v>825</v>
      </c>
      <c r="P61" s="23" t="s">
        <v>336</v>
      </c>
      <c r="Q61" s="23">
        <v>1500</v>
      </c>
      <c r="R61" s="23">
        <v>1000</v>
      </c>
      <c r="S61" s="23">
        <v>2000</v>
      </c>
    </row>
    <row r="62" spans="1:30" x14ac:dyDescent="0.35">
      <c r="A62" s="23" t="s">
        <v>198</v>
      </c>
      <c r="B62" s="115">
        <f>B61</f>
        <v>0.43666685950239481</v>
      </c>
      <c r="O62" s="23" t="s">
        <v>824</v>
      </c>
      <c r="P62" s="23" t="s">
        <v>804</v>
      </c>
      <c r="Q62" s="23">
        <v>800</v>
      </c>
      <c r="R62" s="23">
        <v>500</v>
      </c>
      <c r="S62" s="23">
        <v>1100</v>
      </c>
    </row>
    <row r="63" spans="1:30" x14ac:dyDescent="0.35">
      <c r="O63" s="23" t="s">
        <v>801</v>
      </c>
      <c r="P63" s="23" t="s">
        <v>870</v>
      </c>
      <c r="Q63" s="23">
        <v>200</v>
      </c>
      <c r="R63" s="23">
        <v>600</v>
      </c>
      <c r="S63" s="23">
        <v>100</v>
      </c>
    </row>
    <row r="64" spans="1:30" x14ac:dyDescent="0.35">
      <c r="O64" s="23" t="s">
        <v>864</v>
      </c>
      <c r="P64" s="23" t="s">
        <v>29</v>
      </c>
      <c r="Q64" s="23">
        <v>2.19</v>
      </c>
      <c r="R64" s="23">
        <v>1.7</v>
      </c>
      <c r="S64" s="23">
        <v>2.7</v>
      </c>
    </row>
    <row r="65" spans="1:20" x14ac:dyDescent="0.35">
      <c r="B65" s="112" t="s">
        <v>615</v>
      </c>
      <c r="O65" s="23" t="s">
        <v>871</v>
      </c>
      <c r="P65" s="23" t="s">
        <v>831</v>
      </c>
      <c r="Q65" s="117">
        <v>32.25162999532624</v>
      </c>
      <c r="R65" s="23">
        <v>20</v>
      </c>
      <c r="S65" s="23">
        <v>60</v>
      </c>
    </row>
    <row r="66" spans="1:20" x14ac:dyDescent="0.35">
      <c r="A66" s="111" t="s">
        <v>772</v>
      </c>
      <c r="B66" s="115">
        <f ca="1">SUM(F19:F21,B31,B34,B37:B39,C47,C56,B62)</f>
        <v>101.55162684202386</v>
      </c>
      <c r="O66" s="132" t="s">
        <v>795</v>
      </c>
      <c r="P66" s="132" t="s">
        <v>541</v>
      </c>
      <c r="Q66" s="141">
        <v>-670.19068121832242</v>
      </c>
      <c r="R66" s="141">
        <v>-172.08323445596014</v>
      </c>
      <c r="S66" s="141">
        <v>-1302.3201715053826</v>
      </c>
    </row>
    <row r="67" spans="1:20" x14ac:dyDescent="0.35">
      <c r="O67" s="23" t="s">
        <v>867</v>
      </c>
      <c r="P67" s="23" t="s">
        <v>872</v>
      </c>
      <c r="Q67" s="140">
        <v>1520.4573525342571</v>
      </c>
      <c r="R67" s="140">
        <v>1148.8259977930768</v>
      </c>
      <c r="S67" s="140">
        <v>2031.2042146146066</v>
      </c>
    </row>
    <row r="68" spans="1:20" x14ac:dyDescent="0.35">
      <c r="A68" s="110" t="s">
        <v>709</v>
      </c>
      <c r="B68" s="23" t="s">
        <v>610</v>
      </c>
      <c r="C68" s="23" t="s">
        <v>615</v>
      </c>
      <c r="E68" s="110" t="s">
        <v>902</v>
      </c>
      <c r="F68" s="23" t="s">
        <v>903</v>
      </c>
      <c r="J68" s="23">
        <f ca="1">E80/K58</f>
        <v>2.0006017796503381</v>
      </c>
    </row>
    <row r="69" spans="1:20" ht="29" x14ac:dyDescent="0.35">
      <c r="A69" s="23" t="s">
        <v>380</v>
      </c>
      <c r="B69" s="115">
        <f>6665.73369772007*'Base operation parameters'!C8/1000</f>
        <v>53325.869581760562</v>
      </c>
      <c r="C69" s="115">
        <f>B69*Economics!J58/1000000</f>
        <v>40.527660882138029</v>
      </c>
      <c r="E69" s="23" t="s">
        <v>885</v>
      </c>
      <c r="F69" s="115">
        <f ca="1">('Base operation parameters'!$B$75*$B$55+'Base operation parameters'!$B$76*SUM(B50:B51)*277.77778)/($D$42*1000)</f>
        <v>154.59288281174267</v>
      </c>
      <c r="O69" s="110" t="s">
        <v>892</v>
      </c>
    </row>
    <row r="70" spans="1:20" ht="29" customHeight="1" x14ac:dyDescent="0.35">
      <c r="A70" s="23" t="s">
        <v>76</v>
      </c>
      <c r="B70" s="115">
        <f>876.482812584813/1000*'Base operation parameters'!C8</f>
        <v>7011.8625006785041</v>
      </c>
      <c r="C70" s="115">
        <f>B70*Economics!J59/1000000</f>
        <v>10.167200625983831</v>
      </c>
      <c r="E70" s="23" t="s">
        <v>886</v>
      </c>
      <c r="F70" s="115">
        <f ca="1">('Base operation parameters'!$B$74*$B$55+'Base operation parameters'!$B$76*SUM(B50:B51)*277.77778)/($D$42*1000)</f>
        <v>1443.1057704522025</v>
      </c>
      <c r="P70" s="183" t="s">
        <v>893</v>
      </c>
      <c r="Q70" s="183"/>
      <c r="R70" s="183" t="s">
        <v>895</v>
      </c>
      <c r="S70" s="183"/>
    </row>
    <row r="71" spans="1:20" x14ac:dyDescent="0.35">
      <c r="A71" s="23" t="s">
        <v>81</v>
      </c>
      <c r="B71" s="115">
        <f>(125.875363438076+111.651126504)/1000*'Base operation parameters'!C8</f>
        <v>1900.2119195366081</v>
      </c>
      <c r="C71" s="115">
        <f>B71*Economics!J60/1000000</f>
        <v>6.6317395991827626</v>
      </c>
      <c r="O71" s="23" t="s">
        <v>780</v>
      </c>
      <c r="P71" s="23" t="s">
        <v>874</v>
      </c>
      <c r="Q71" s="23" t="s">
        <v>894</v>
      </c>
      <c r="R71" s="23" t="s">
        <v>874</v>
      </c>
      <c r="S71" s="23" t="s">
        <v>875</v>
      </c>
    </row>
    <row r="72" spans="1:20" x14ac:dyDescent="0.35">
      <c r="A72" s="23" t="s">
        <v>302</v>
      </c>
      <c r="B72" s="115">
        <f>3927.15230332/1000*'Base operation parameters'!C8</f>
        <v>31417.218426560001</v>
      </c>
      <c r="C72" s="115">
        <f>B72*Economics!J61/1000000</f>
        <v>17.907814503139203</v>
      </c>
      <c r="O72" s="23">
        <v>0</v>
      </c>
      <c r="P72" s="112">
        <v>-458.52970257138236</v>
      </c>
      <c r="Q72" s="112">
        <v>-416.77997813635648</v>
      </c>
      <c r="R72" s="112">
        <v>-361.62438706222116</v>
      </c>
      <c r="S72" s="112">
        <v>-319.87466262719533</v>
      </c>
      <c r="T72" s="112"/>
    </row>
    <row r="73" spans="1:20" x14ac:dyDescent="0.35">
      <c r="A73" s="23" t="s">
        <v>198</v>
      </c>
      <c r="B73" s="115"/>
      <c r="C73" s="115">
        <f>SUM(C69:C72)</f>
        <v>75.234415610443833</v>
      </c>
      <c r="O73" s="23">
        <v>1</v>
      </c>
      <c r="P73" s="112">
        <v>-484.84691380296238</v>
      </c>
      <c r="Q73" s="112">
        <v>-443.27112409719359</v>
      </c>
      <c r="R73" s="112">
        <v>-338.93019291987002</v>
      </c>
      <c r="S73" s="112">
        <v>-298.2641913126613</v>
      </c>
      <c r="T73" s="112"/>
    </row>
    <row r="74" spans="1:20" x14ac:dyDescent="0.35">
      <c r="B74" s="115" t="s">
        <v>615</v>
      </c>
      <c r="C74" s="115"/>
      <c r="O74" s="23">
        <v>2</v>
      </c>
      <c r="P74" s="112">
        <v>-511.16412503454239</v>
      </c>
      <c r="Q74" s="112">
        <v>-469.76227005803071</v>
      </c>
      <c r="R74" s="112">
        <v>-316.23599877751889</v>
      </c>
      <c r="S74" s="112">
        <v>-276.65371999812726</v>
      </c>
      <c r="T74" s="112"/>
    </row>
    <row r="75" spans="1:20" x14ac:dyDescent="0.35">
      <c r="A75" s="110" t="s">
        <v>794</v>
      </c>
      <c r="B75" s="115">
        <f ca="1">C73-B66</f>
        <v>-26.317211231580032</v>
      </c>
      <c r="C75" s="115"/>
      <c r="O75" s="23">
        <v>3</v>
      </c>
      <c r="P75" s="112">
        <v>-537.48133626612241</v>
      </c>
      <c r="Q75" s="112">
        <v>-496.25341601886782</v>
      </c>
      <c r="R75" s="112">
        <v>-293.54180463516775</v>
      </c>
      <c r="S75" s="112">
        <v>-255.04324868359319</v>
      </c>
      <c r="T75" s="112"/>
    </row>
    <row r="76" spans="1:20" ht="15" thickBot="1" x14ac:dyDescent="0.4">
      <c r="O76" s="23">
        <v>4</v>
      </c>
      <c r="P76" s="112">
        <v>-563.79854749770243</v>
      </c>
      <c r="Q76" s="112">
        <v>-522.74456197970494</v>
      </c>
      <c r="R76" s="112">
        <v>-270.84761049281661</v>
      </c>
      <c r="S76" s="112">
        <v>-233.43277736905912</v>
      </c>
      <c r="T76" s="112"/>
    </row>
    <row r="77" spans="1:20" ht="43.5" x14ac:dyDescent="0.35">
      <c r="A77" s="118" t="s">
        <v>786</v>
      </c>
      <c r="B77" s="119">
        <f ca="1">IF(I78=1,I80,C8)</f>
        <v>416.84518415580214</v>
      </c>
      <c r="C77" s="119" t="s">
        <v>541</v>
      </c>
      <c r="D77" s="120" t="s">
        <v>796</v>
      </c>
      <c r="E77" s="120">
        <f>(B79*(1+B79)^'Base operation parameters'!C9)/((1+B79)^'Base operation parameters'!C9-1)</f>
        <v>0.11745962477254576</v>
      </c>
      <c r="F77" s="120"/>
      <c r="G77" s="120"/>
      <c r="H77" s="160" t="s">
        <v>900</v>
      </c>
      <c r="I77" s="161">
        <v>0</v>
      </c>
      <c r="O77" s="23">
        <v>5</v>
      </c>
      <c r="P77" s="112">
        <v>-590.11575872928245</v>
      </c>
      <c r="Q77" s="112">
        <v>-549.23570794054206</v>
      </c>
      <c r="R77" s="112">
        <v>-248.15341635046548</v>
      </c>
      <c r="S77" s="112">
        <v>-211.82230605452506</v>
      </c>
      <c r="T77" s="112"/>
    </row>
    <row r="78" spans="1:20" x14ac:dyDescent="0.35">
      <c r="A78" s="121" t="s">
        <v>787</v>
      </c>
      <c r="B78" s="122">
        <f>'Base operation parameters'!C12</f>
        <v>0.25</v>
      </c>
      <c r="C78" s="115"/>
      <c r="D78" s="23" t="s">
        <v>865</v>
      </c>
      <c r="E78" s="23">
        <f ca="1">E77*B77</f>
        <v>48.962478919183255</v>
      </c>
      <c r="F78" s="23" t="s">
        <v>541</v>
      </c>
      <c r="H78" s="110" t="s">
        <v>896</v>
      </c>
      <c r="I78" s="162">
        <v>0</v>
      </c>
      <c r="O78" s="23">
        <v>6</v>
      </c>
      <c r="P78" s="112">
        <v>-616.43296996086247</v>
      </c>
      <c r="Q78" s="112">
        <v>-575.72685390137917</v>
      </c>
      <c r="R78" s="112">
        <v>-225.45922220811434</v>
      </c>
      <c r="S78" s="112">
        <v>-190.21183473999099</v>
      </c>
      <c r="T78" s="112"/>
    </row>
    <row r="79" spans="1:20" x14ac:dyDescent="0.35">
      <c r="A79" s="121" t="s">
        <v>790</v>
      </c>
      <c r="B79" s="122">
        <f>'Base operation parameters'!C10</f>
        <v>0.1</v>
      </c>
      <c r="C79" s="115"/>
      <c r="D79" s="23" t="s">
        <v>843</v>
      </c>
      <c r="E79" s="115">
        <f ca="1">E78+B66</f>
        <v>150.51410576120713</v>
      </c>
      <c r="F79" s="23" t="s">
        <v>615</v>
      </c>
      <c r="I79" s="123"/>
      <c r="O79" s="23">
        <v>7</v>
      </c>
      <c r="P79" s="112">
        <v>-642.75018119244248</v>
      </c>
      <c r="Q79" s="112">
        <v>-602.21799986221629</v>
      </c>
      <c r="R79" s="112">
        <v>-202.7650280657632</v>
      </c>
      <c r="S79" s="112">
        <v>-168.60136342545692</v>
      </c>
      <c r="T79" s="112"/>
    </row>
    <row r="80" spans="1:20" ht="43.5" x14ac:dyDescent="0.35">
      <c r="A80" s="121" t="s">
        <v>789</v>
      </c>
      <c r="B80" s="124">
        <f>I3</f>
        <v>0.1</v>
      </c>
      <c r="D80" s="23" t="s">
        <v>866</v>
      </c>
      <c r="E80" s="23">
        <f ca="1">(E79*1000000*(C69/C73))/B69</f>
        <v>1520.4573525342571</v>
      </c>
      <c r="F80" s="23" t="s">
        <v>844</v>
      </c>
      <c r="H80" s="23" t="s">
        <v>897</v>
      </c>
      <c r="I80" s="165">
        <f ca="1">('Equipment list&amp;costing'!AB50-SUM('Equipment list&amp;costing'!AB46:AB49,'Equipment list&amp;costing'!AB24))/1000000*F6+SUM(D13:D15)+D3</f>
        <v>378.8908892148695</v>
      </c>
      <c r="O80" s="23">
        <v>8</v>
      </c>
      <c r="P80" s="112">
        <v>-669.0673924240225</v>
      </c>
      <c r="Q80" s="112">
        <v>-628.7091458230534</v>
      </c>
      <c r="R80" s="112">
        <v>-180.07083392341207</v>
      </c>
      <c r="S80" s="112">
        <v>-146.99089211092286</v>
      </c>
      <c r="T80" s="112"/>
    </row>
    <row r="81" spans="1:21" x14ac:dyDescent="0.35">
      <c r="A81" s="121" t="s">
        <v>788</v>
      </c>
      <c r="B81" s="122">
        <f>IF(I77=1,0,10%)</f>
        <v>0.1</v>
      </c>
      <c r="D81" s="110" t="s">
        <v>901</v>
      </c>
      <c r="E81" s="129">
        <f ca="1">I105</f>
        <v>-670.19068121832242</v>
      </c>
      <c r="H81" s="23" t="s">
        <v>898</v>
      </c>
      <c r="I81" s="164">
        <f ca="1">C73-SUM(B62,E56,C47,C37:C39,C34,C31,F19:F21)</f>
        <v>-26.491145960837102</v>
      </c>
      <c r="O81" s="23">
        <v>9</v>
      </c>
      <c r="P81" s="112">
        <v>-695.38460365560252</v>
      </c>
      <c r="Q81" s="112">
        <v>-655.20029178389052</v>
      </c>
      <c r="R81" s="112">
        <v>-157.37663978106093</v>
      </c>
      <c r="S81" s="112">
        <v>-125.38042079638879</v>
      </c>
      <c r="T81" s="112"/>
    </row>
    <row r="82" spans="1:21" x14ac:dyDescent="0.35">
      <c r="A82" s="121" t="s">
        <v>791</v>
      </c>
      <c r="B82" s="125">
        <v>10</v>
      </c>
      <c r="C82" s="23" t="s">
        <v>27</v>
      </c>
      <c r="I82" s="123"/>
      <c r="O82" s="23">
        <v>10</v>
      </c>
      <c r="P82" s="112">
        <v>-721.70181488718254</v>
      </c>
      <c r="Q82" s="112">
        <v>-681.69143774472764</v>
      </c>
      <c r="R82" s="112">
        <v>-134.68244563870979</v>
      </c>
      <c r="S82" s="112">
        <v>-103.76994948185472</v>
      </c>
      <c r="T82" s="112">
        <f>R82-R83</f>
        <v>-17.020645606763352</v>
      </c>
      <c r="U82" s="112">
        <f>S82-S83</f>
        <v>-16.207853485900557</v>
      </c>
    </row>
    <row r="83" spans="1:21" x14ac:dyDescent="0.35">
      <c r="A83" s="121" t="s">
        <v>792</v>
      </c>
      <c r="B83" s="122" t="s">
        <v>793</v>
      </c>
      <c r="I83" s="123"/>
      <c r="O83" s="23">
        <v>11</v>
      </c>
      <c r="P83" s="112">
        <v>-748.01902611876255</v>
      </c>
      <c r="Q83" s="112">
        <v>-708.18258370556475</v>
      </c>
      <c r="R83" s="112">
        <v>-117.66180003194644</v>
      </c>
      <c r="S83" s="112">
        <v>-87.562095995954166</v>
      </c>
      <c r="T83" s="112"/>
    </row>
    <row r="84" spans="1:21" ht="29" x14ac:dyDescent="0.35">
      <c r="A84" s="121" t="s">
        <v>780</v>
      </c>
      <c r="B84" s="23" t="s">
        <v>781</v>
      </c>
      <c r="C84" s="23" t="s">
        <v>705</v>
      </c>
      <c r="D84" s="126" t="s">
        <v>729</v>
      </c>
      <c r="E84" s="126" t="s">
        <v>782</v>
      </c>
      <c r="F84" s="126" t="s">
        <v>783</v>
      </c>
      <c r="G84" s="127" t="s">
        <v>842</v>
      </c>
      <c r="H84" s="127" t="s">
        <v>784</v>
      </c>
      <c r="I84" s="128" t="s">
        <v>785</v>
      </c>
      <c r="K84" s="23" t="s">
        <v>887</v>
      </c>
      <c r="O84" s="23">
        <v>12</v>
      </c>
      <c r="P84" s="112">
        <v>-774.33623735034257</v>
      </c>
      <c r="Q84" s="112">
        <v>-734.67372966640187</v>
      </c>
      <c r="R84" s="112">
        <v>-100.64115442518309</v>
      </c>
      <c r="S84" s="112">
        <v>-71.354242510053609</v>
      </c>
      <c r="T84" s="112">
        <f>P84-P85</f>
        <v>26.317211231580018</v>
      </c>
      <c r="U84" s="112">
        <f>Q84-Q85</f>
        <v>26.491145960837116</v>
      </c>
    </row>
    <row r="85" spans="1:21" x14ac:dyDescent="0.35">
      <c r="A85" s="121">
        <v>0</v>
      </c>
      <c r="B85" s="112">
        <f ca="1">-B77</f>
        <v>-416.84518415580214</v>
      </c>
      <c r="C85" s="112">
        <f ca="1">B80*B85</f>
        <v>-41.684518415580214</v>
      </c>
      <c r="D85" s="112"/>
      <c r="E85" s="112"/>
      <c r="F85" s="112"/>
      <c r="G85" s="112">
        <f t="shared" ref="G85:G105" ca="1" si="6">SUM(B85:C85,D85,F85)</f>
        <v>-458.52970257138236</v>
      </c>
      <c r="H85" s="156">
        <f t="shared" ref="H85:H105" ca="1" si="7">G85*1/(1+$B$79)^A85</f>
        <v>-458.52970257138236</v>
      </c>
      <c r="I85" s="157">
        <f ca="1">H85</f>
        <v>-458.52970257138236</v>
      </c>
      <c r="K85" s="112">
        <f ca="1">G85</f>
        <v>-458.52970257138236</v>
      </c>
      <c r="O85" s="23">
        <v>13</v>
      </c>
      <c r="P85" s="112">
        <v>-800.65344858192259</v>
      </c>
      <c r="Q85" s="112">
        <v>-761.16487562723898</v>
      </c>
      <c r="R85" s="112">
        <v>-83.620508818419736</v>
      </c>
      <c r="S85" s="112">
        <v>-55.146389024153059</v>
      </c>
      <c r="T85" s="112"/>
    </row>
    <row r="86" spans="1:21" x14ac:dyDescent="0.35">
      <c r="A86" s="121">
        <v>1</v>
      </c>
      <c r="B86" s="112"/>
      <c r="C86" s="112"/>
      <c r="D86" s="112">
        <f ca="1">-$B$85*(1-$B$81)/$B$82</f>
        <v>37.51606657402219</v>
      </c>
      <c r="E86" s="112">
        <f ca="1">IF($I$78=1,$I$81,$B$75)</f>
        <v>-26.317211231580032</v>
      </c>
      <c r="F86" s="112">
        <f t="shared" ref="F86:F105" ca="1" si="8">IF(E86-D86&gt;0,(E86-D86)*(1-$B$78),E86-D86)</f>
        <v>-63.833277805602222</v>
      </c>
      <c r="G86" s="112">
        <f t="shared" ca="1" si="6"/>
        <v>-26.317211231580032</v>
      </c>
      <c r="H86" s="156">
        <f t="shared" ca="1" si="7"/>
        <v>-23.924737483254571</v>
      </c>
      <c r="I86" s="157">
        <f t="shared" ref="I86:I105" ca="1" si="9">H86+I85</f>
        <v>-482.4544400546369</v>
      </c>
      <c r="K86" s="112">
        <f ca="1">K85+G86</f>
        <v>-484.84691380296238</v>
      </c>
      <c r="O86" s="23">
        <v>14</v>
      </c>
      <c r="P86" s="112">
        <v>-826.97065981350261</v>
      </c>
      <c r="Q86" s="112">
        <v>-787.6560215880761</v>
      </c>
      <c r="R86" s="112">
        <v>-66.599863211656384</v>
      </c>
      <c r="S86" s="112">
        <v>-38.938535538252509</v>
      </c>
      <c r="T86" s="112"/>
    </row>
    <row r="87" spans="1:21" x14ac:dyDescent="0.35">
      <c r="A87" s="121">
        <v>2</v>
      </c>
      <c r="B87" s="112"/>
      <c r="C87" s="112"/>
      <c r="D87" s="112">
        <f t="shared" ref="D87:D95" ca="1" si="10">-$B$85*(1-$B$81)/$B$82</f>
        <v>37.51606657402219</v>
      </c>
      <c r="E87" s="112">
        <f t="shared" ref="E87:E125" ca="1" si="11">IF($I$78=1,$I$81,$B$75)</f>
        <v>-26.317211231580032</v>
      </c>
      <c r="F87" s="112">
        <f t="shared" ca="1" si="8"/>
        <v>-63.833277805602222</v>
      </c>
      <c r="G87" s="112">
        <f t="shared" ca="1" si="6"/>
        <v>-26.317211231580032</v>
      </c>
      <c r="H87" s="156">
        <f t="shared" ca="1" si="7"/>
        <v>-21.749761348413248</v>
      </c>
      <c r="I87" s="157">
        <f t="shared" ca="1" si="9"/>
        <v>-504.20420140305015</v>
      </c>
      <c r="K87" s="112">
        <f t="shared" ref="K87:K104" ca="1" si="12">K86+G87</f>
        <v>-511.16412503454239</v>
      </c>
      <c r="O87" s="23">
        <v>15</v>
      </c>
      <c r="P87" s="112">
        <v>-853.28787104508262</v>
      </c>
      <c r="Q87" s="112">
        <v>-814.14716754891322</v>
      </c>
      <c r="R87" s="112">
        <v>-49.579217604893032</v>
      </c>
      <c r="S87" s="112">
        <v>-22.730682052351959</v>
      </c>
      <c r="T87" s="112"/>
    </row>
    <row r="88" spans="1:21" x14ac:dyDescent="0.35">
      <c r="A88" s="121">
        <v>3</v>
      </c>
      <c r="B88" s="112"/>
      <c r="C88" s="112"/>
      <c r="D88" s="112">
        <f t="shared" ca="1" si="10"/>
        <v>37.51606657402219</v>
      </c>
      <c r="E88" s="112">
        <f t="shared" ca="1" si="11"/>
        <v>-26.317211231580032</v>
      </c>
      <c r="F88" s="112">
        <f t="shared" ca="1" si="8"/>
        <v>-63.833277805602222</v>
      </c>
      <c r="G88" s="112">
        <f t="shared" ca="1" si="6"/>
        <v>-26.317211231580032</v>
      </c>
      <c r="H88" s="156">
        <f t="shared" ca="1" si="7"/>
        <v>-19.772510316739311</v>
      </c>
      <c r="I88" s="157">
        <f t="shared" ca="1" si="9"/>
        <v>-523.97671171978948</v>
      </c>
      <c r="K88" s="112">
        <f t="shared" ca="1" si="12"/>
        <v>-537.48133626612241</v>
      </c>
      <c r="O88" s="23">
        <v>16</v>
      </c>
      <c r="P88" s="112">
        <v>-879.60508227666264</v>
      </c>
      <c r="Q88" s="112">
        <v>-840.63831350975033</v>
      </c>
      <c r="R88" s="112">
        <v>-32.558571998129679</v>
      </c>
      <c r="S88" s="112">
        <v>-6.522828566451409</v>
      </c>
      <c r="T88" s="112"/>
    </row>
    <row r="89" spans="1:21" x14ac:dyDescent="0.35">
      <c r="A89" s="121">
        <v>4</v>
      </c>
      <c r="B89" s="112"/>
      <c r="C89" s="112"/>
      <c r="D89" s="112">
        <f t="shared" ca="1" si="10"/>
        <v>37.51606657402219</v>
      </c>
      <c r="E89" s="112">
        <f t="shared" ca="1" si="11"/>
        <v>-26.317211231580032</v>
      </c>
      <c r="F89" s="112">
        <f t="shared" ca="1" si="8"/>
        <v>-63.833277805602222</v>
      </c>
      <c r="G89" s="112">
        <f t="shared" ca="1" si="6"/>
        <v>-26.317211231580032</v>
      </c>
      <c r="H89" s="156">
        <f t="shared" ca="1" si="7"/>
        <v>-17.975009378853919</v>
      </c>
      <c r="I89" s="157">
        <f t="shared" ca="1" si="9"/>
        <v>-541.95172109864336</v>
      </c>
      <c r="K89" s="112">
        <f t="shared" ca="1" si="12"/>
        <v>-563.79854749770243</v>
      </c>
      <c r="O89" s="23">
        <v>17</v>
      </c>
      <c r="P89" s="112">
        <v>-905.92229350824266</v>
      </c>
      <c r="Q89" s="112">
        <v>-867.12945947058745</v>
      </c>
      <c r="R89" s="112">
        <v>-15.537926391366327</v>
      </c>
      <c r="S89" s="112">
        <v>9.6850249194491411</v>
      </c>
      <c r="T89" s="112"/>
    </row>
    <row r="90" spans="1:21" x14ac:dyDescent="0.35">
      <c r="A90" s="121">
        <v>5</v>
      </c>
      <c r="B90" s="112"/>
      <c r="C90" s="112"/>
      <c r="D90" s="112">
        <f t="shared" ca="1" si="10"/>
        <v>37.51606657402219</v>
      </c>
      <c r="E90" s="112">
        <f t="shared" ca="1" si="11"/>
        <v>-26.317211231580032</v>
      </c>
      <c r="F90" s="112">
        <f t="shared" ca="1" si="8"/>
        <v>-63.833277805602222</v>
      </c>
      <c r="G90" s="112">
        <f t="shared" ca="1" si="6"/>
        <v>-26.317211231580032</v>
      </c>
      <c r="H90" s="156">
        <f t="shared" ca="1" si="7"/>
        <v>-16.340917617139926</v>
      </c>
      <c r="I90" s="157">
        <f t="shared" ca="1" si="9"/>
        <v>-558.29263871578326</v>
      </c>
      <c r="K90" s="112">
        <f t="shared" ca="1" si="12"/>
        <v>-590.11575872928245</v>
      </c>
      <c r="O90" s="23">
        <v>18</v>
      </c>
      <c r="P90" s="112">
        <v>-932.23950473982268</v>
      </c>
      <c r="Q90" s="112">
        <v>-893.62060543142456</v>
      </c>
      <c r="R90" s="112">
        <v>1.4827192153970259</v>
      </c>
      <c r="S90" s="112">
        <v>25.892878405349691</v>
      </c>
      <c r="T90" s="112"/>
    </row>
    <row r="91" spans="1:21" x14ac:dyDescent="0.35">
      <c r="A91" s="121">
        <v>6</v>
      </c>
      <c r="B91" s="112"/>
      <c r="C91" s="112"/>
      <c r="D91" s="112">
        <f t="shared" ca="1" si="10"/>
        <v>37.51606657402219</v>
      </c>
      <c r="E91" s="112">
        <f t="shared" ca="1" si="11"/>
        <v>-26.317211231580032</v>
      </c>
      <c r="F91" s="112">
        <f t="shared" ca="1" si="8"/>
        <v>-63.833277805602222</v>
      </c>
      <c r="G91" s="112">
        <f t="shared" ca="1" si="6"/>
        <v>-26.317211231580032</v>
      </c>
      <c r="H91" s="156">
        <f t="shared" ca="1" si="7"/>
        <v>-14.855379651945386</v>
      </c>
      <c r="I91" s="157">
        <f t="shared" ca="1" si="9"/>
        <v>-573.1480183677287</v>
      </c>
      <c r="K91" s="112">
        <f t="shared" ca="1" si="12"/>
        <v>-616.43296996086247</v>
      </c>
      <c r="O91" s="23">
        <v>19</v>
      </c>
      <c r="P91" s="112">
        <v>-958.5567159714027</v>
      </c>
      <c r="Q91" s="112">
        <v>-920.11175139226168</v>
      </c>
      <c r="R91" s="112">
        <v>18.503364822160378</v>
      </c>
      <c r="S91" s="112">
        <v>42.100731891250241</v>
      </c>
      <c r="T91" s="112"/>
    </row>
    <row r="92" spans="1:21" x14ac:dyDescent="0.35">
      <c r="A92" s="121">
        <v>7</v>
      </c>
      <c r="B92" s="112"/>
      <c r="C92" s="112"/>
      <c r="D92" s="112">
        <f t="shared" ca="1" si="10"/>
        <v>37.51606657402219</v>
      </c>
      <c r="E92" s="112">
        <f t="shared" ca="1" si="11"/>
        <v>-26.317211231580032</v>
      </c>
      <c r="F92" s="112">
        <f t="shared" ca="1" si="8"/>
        <v>-63.833277805602222</v>
      </c>
      <c r="G92" s="112">
        <f t="shared" ca="1" si="6"/>
        <v>-26.317211231580032</v>
      </c>
      <c r="H92" s="156">
        <f t="shared" ca="1" si="7"/>
        <v>-13.504890592677622</v>
      </c>
      <c r="I92" s="157">
        <f t="shared" ca="1" si="9"/>
        <v>-586.65290896040631</v>
      </c>
      <c r="K92" s="112">
        <f t="shared" ca="1" si="12"/>
        <v>-642.75018119244248</v>
      </c>
      <c r="O92" s="23">
        <v>20</v>
      </c>
      <c r="P92" s="112">
        <v>-984.87392720298271</v>
      </c>
      <c r="Q92" s="112">
        <v>-946.6028973530988</v>
      </c>
      <c r="R92" s="112">
        <v>35.524010428923731</v>
      </c>
      <c r="S92" s="112">
        <v>58.308585377150791</v>
      </c>
      <c r="T92" s="112"/>
    </row>
    <row r="93" spans="1:21" x14ac:dyDescent="0.35">
      <c r="A93" s="121">
        <v>8</v>
      </c>
      <c r="B93" s="112"/>
      <c r="C93" s="112"/>
      <c r="D93" s="112">
        <f t="shared" ca="1" si="10"/>
        <v>37.51606657402219</v>
      </c>
      <c r="E93" s="112">
        <f t="shared" ca="1" si="11"/>
        <v>-26.317211231580032</v>
      </c>
      <c r="F93" s="112">
        <f t="shared" ca="1" si="8"/>
        <v>-63.833277805602222</v>
      </c>
      <c r="G93" s="112">
        <f t="shared" ca="1" si="6"/>
        <v>-26.317211231580032</v>
      </c>
      <c r="H93" s="156">
        <f t="shared" ca="1" si="7"/>
        <v>-12.277173266070566</v>
      </c>
      <c r="I93" s="157">
        <f t="shared" ca="1" si="9"/>
        <v>-598.93008222647688</v>
      </c>
      <c r="K93" s="112">
        <f t="shared" ca="1" si="12"/>
        <v>-669.0673924240225</v>
      </c>
      <c r="O93" s="23">
        <v>21</v>
      </c>
      <c r="P93" s="112">
        <v>-1011.1911384345627</v>
      </c>
      <c r="Q93" s="112">
        <v>-973.09404331393591</v>
      </c>
      <c r="R93" s="112">
        <v>52.544656035687083</v>
      </c>
      <c r="S93" s="112">
        <v>74.516438863051349</v>
      </c>
      <c r="T93" s="112"/>
    </row>
    <row r="94" spans="1:21" x14ac:dyDescent="0.35">
      <c r="A94" s="121">
        <v>9</v>
      </c>
      <c r="B94" s="112"/>
      <c r="C94" s="112"/>
      <c r="D94" s="112">
        <f t="shared" ca="1" si="10"/>
        <v>37.51606657402219</v>
      </c>
      <c r="E94" s="112">
        <f t="shared" ca="1" si="11"/>
        <v>-26.317211231580032</v>
      </c>
      <c r="F94" s="112">
        <f t="shared" ca="1" si="8"/>
        <v>-63.833277805602222</v>
      </c>
      <c r="G94" s="112">
        <f t="shared" ca="1" si="6"/>
        <v>-26.317211231580032</v>
      </c>
      <c r="H94" s="156">
        <f t="shared" ca="1" si="7"/>
        <v>-11.161066605518695</v>
      </c>
      <c r="I94" s="157">
        <f t="shared" ca="1" si="9"/>
        <v>-610.09114883199561</v>
      </c>
      <c r="K94" s="112">
        <f t="shared" ca="1" si="12"/>
        <v>-695.38460365560252</v>
      </c>
      <c r="O94" s="23">
        <v>22</v>
      </c>
      <c r="P94" s="112">
        <v>-1037.5083496661427</v>
      </c>
      <c r="Q94" s="112">
        <v>-999.58518927477303</v>
      </c>
      <c r="R94" s="112">
        <v>69.565301642450436</v>
      </c>
      <c r="S94" s="112">
        <v>90.724292348951906</v>
      </c>
      <c r="T94" s="112"/>
    </row>
    <row r="95" spans="1:21" x14ac:dyDescent="0.35">
      <c r="A95" s="121">
        <v>10</v>
      </c>
      <c r="B95" s="112"/>
      <c r="C95" s="112"/>
      <c r="D95" s="112">
        <f t="shared" ca="1" si="10"/>
        <v>37.51606657402219</v>
      </c>
      <c r="E95" s="112">
        <f t="shared" ca="1" si="11"/>
        <v>-26.317211231580032</v>
      </c>
      <c r="F95" s="112">
        <f t="shared" ca="1" si="8"/>
        <v>-63.833277805602222</v>
      </c>
      <c r="G95" s="112">
        <f t="shared" ca="1" si="6"/>
        <v>-26.317211231580032</v>
      </c>
      <c r="H95" s="156">
        <f t="shared" ca="1" si="7"/>
        <v>-10.146424186835176</v>
      </c>
      <c r="I95" s="157">
        <f t="shared" ca="1" si="9"/>
        <v>-620.23757301883074</v>
      </c>
      <c r="K95" s="112">
        <f t="shared" ca="1" si="12"/>
        <v>-721.70181488718254</v>
      </c>
      <c r="O95" s="23">
        <v>23</v>
      </c>
      <c r="P95" s="112">
        <v>-1063.8255608977229</v>
      </c>
      <c r="Q95" s="112">
        <v>-1026.07633523561</v>
      </c>
      <c r="R95" s="112">
        <v>86.585947249213788</v>
      </c>
      <c r="S95" s="112">
        <v>106.93214583485246</v>
      </c>
      <c r="T95" s="112"/>
    </row>
    <row r="96" spans="1:21" x14ac:dyDescent="0.35">
      <c r="A96" s="121">
        <v>11</v>
      </c>
      <c r="B96" s="112"/>
      <c r="C96" s="112"/>
      <c r="D96" s="112"/>
      <c r="E96" s="112">
        <f t="shared" ca="1" si="11"/>
        <v>-26.317211231580032</v>
      </c>
      <c r="F96" s="112">
        <f t="shared" ca="1" si="8"/>
        <v>-26.317211231580032</v>
      </c>
      <c r="G96" s="112">
        <f t="shared" ca="1" si="6"/>
        <v>-26.317211231580032</v>
      </c>
      <c r="H96" s="156">
        <f t="shared" ca="1" si="7"/>
        <v>-9.2240219880319767</v>
      </c>
      <c r="I96" s="157">
        <f t="shared" ca="1" si="9"/>
        <v>-629.46159500686269</v>
      </c>
      <c r="K96" s="112">
        <f t="shared" ca="1" si="12"/>
        <v>-748.01902611876255</v>
      </c>
      <c r="O96" s="23">
        <v>24</v>
      </c>
      <c r="P96" s="112">
        <v>-1090.142772129303</v>
      </c>
      <c r="Q96" s="112">
        <v>-1052.567481196447</v>
      </c>
      <c r="R96" s="112">
        <v>103.60659285597714</v>
      </c>
      <c r="S96" s="112">
        <v>123.13999932075302</v>
      </c>
      <c r="T96" s="112"/>
    </row>
    <row r="97" spans="1:19" x14ac:dyDescent="0.35">
      <c r="A97" s="121">
        <v>12</v>
      </c>
      <c r="B97" s="112"/>
      <c r="C97" s="112"/>
      <c r="D97" s="112"/>
      <c r="E97" s="112">
        <f t="shared" ca="1" si="11"/>
        <v>-26.317211231580032</v>
      </c>
      <c r="F97" s="112">
        <f t="shared" ca="1" si="8"/>
        <v>-26.317211231580032</v>
      </c>
      <c r="G97" s="112">
        <f t="shared" ca="1" si="6"/>
        <v>-26.317211231580032</v>
      </c>
      <c r="H97" s="156">
        <f t="shared" ca="1" si="7"/>
        <v>-8.3854745345745254</v>
      </c>
      <c r="I97" s="157">
        <f t="shared" ca="1" si="9"/>
        <v>-637.84706954143724</v>
      </c>
      <c r="K97" s="112">
        <f t="shared" ca="1" si="12"/>
        <v>-774.33623735034257</v>
      </c>
      <c r="O97" s="23">
        <v>25</v>
      </c>
      <c r="P97" s="112">
        <v>-1116.4599833608831</v>
      </c>
      <c r="Q97" s="112">
        <v>-1079.058627157284</v>
      </c>
      <c r="R97" s="112">
        <v>120.62723846274049</v>
      </c>
      <c r="S97" s="112">
        <v>139.34785280665358</v>
      </c>
    </row>
    <row r="98" spans="1:19" x14ac:dyDescent="0.35">
      <c r="A98" s="121">
        <v>13</v>
      </c>
      <c r="B98" s="112"/>
      <c r="C98" s="112"/>
      <c r="D98" s="112"/>
      <c r="E98" s="112">
        <f t="shared" ca="1" si="11"/>
        <v>-26.317211231580032</v>
      </c>
      <c r="F98" s="112">
        <f t="shared" ca="1" si="8"/>
        <v>-26.317211231580032</v>
      </c>
      <c r="G98" s="112">
        <f t="shared" ca="1" si="6"/>
        <v>-26.317211231580032</v>
      </c>
      <c r="H98" s="156">
        <f t="shared" ca="1" si="7"/>
        <v>-7.6231586677950229</v>
      </c>
      <c r="I98" s="157">
        <f t="shared" ca="1" si="9"/>
        <v>-645.47022820923223</v>
      </c>
      <c r="K98" s="112">
        <f t="shared" ca="1" si="12"/>
        <v>-800.65344858192259</v>
      </c>
      <c r="O98" s="23">
        <v>26</v>
      </c>
      <c r="P98" s="112">
        <v>-1142.7771945924633</v>
      </c>
      <c r="Q98" s="112">
        <v>-1105.549773118121</v>
      </c>
      <c r="R98" s="112">
        <v>137.64788406950385</v>
      </c>
      <c r="S98" s="112">
        <v>155.55570629255413</v>
      </c>
    </row>
    <row r="99" spans="1:19" x14ac:dyDescent="0.35">
      <c r="A99" s="121">
        <v>14</v>
      </c>
      <c r="B99" s="112"/>
      <c r="C99" s="112"/>
      <c r="D99" s="112"/>
      <c r="E99" s="112">
        <f t="shared" ca="1" si="11"/>
        <v>-26.317211231580032</v>
      </c>
      <c r="F99" s="112">
        <f t="shared" ca="1" si="8"/>
        <v>-26.317211231580032</v>
      </c>
      <c r="G99" s="112">
        <f t="shared" ca="1" si="6"/>
        <v>-26.317211231580032</v>
      </c>
      <c r="H99" s="156">
        <f t="shared" ca="1" si="7"/>
        <v>-6.9301442434500196</v>
      </c>
      <c r="I99" s="157">
        <f t="shared" ca="1" si="9"/>
        <v>-652.40037245268229</v>
      </c>
      <c r="K99" s="112">
        <f t="shared" ca="1" si="12"/>
        <v>-826.97065981350261</v>
      </c>
      <c r="O99" s="23">
        <v>27</v>
      </c>
      <c r="P99" s="112">
        <v>-1169.0944058240434</v>
      </c>
      <c r="Q99" s="112">
        <v>-1132.040919078958</v>
      </c>
      <c r="R99" s="112">
        <v>154.66852967626721</v>
      </c>
      <c r="S99" s="112">
        <v>171.76355977845469</v>
      </c>
    </row>
    <row r="100" spans="1:19" x14ac:dyDescent="0.35">
      <c r="A100" s="121">
        <v>15</v>
      </c>
      <c r="B100" s="112"/>
      <c r="C100" s="112"/>
      <c r="D100" s="112"/>
      <c r="E100" s="112">
        <f t="shared" ca="1" si="11"/>
        <v>-26.317211231580032</v>
      </c>
      <c r="F100" s="112">
        <f t="shared" ca="1" si="8"/>
        <v>-26.317211231580032</v>
      </c>
      <c r="G100" s="112">
        <f t="shared" ca="1" si="6"/>
        <v>-26.317211231580032</v>
      </c>
      <c r="H100" s="156">
        <f t="shared" ca="1" si="7"/>
        <v>-6.3001311304091088</v>
      </c>
      <c r="I100" s="157">
        <f t="shared" ca="1" si="9"/>
        <v>-658.7005035830914</v>
      </c>
      <c r="K100" s="112">
        <f t="shared" ca="1" si="12"/>
        <v>-853.28787104508262</v>
      </c>
      <c r="O100" s="23">
        <v>28</v>
      </c>
      <c r="P100" s="112">
        <v>-1195.4116170556235</v>
      </c>
      <c r="Q100" s="112">
        <v>-1158.532065039795</v>
      </c>
      <c r="R100" s="112">
        <v>171.68917528303058</v>
      </c>
      <c r="S100" s="112">
        <v>187.97141326435525</v>
      </c>
    </row>
    <row r="101" spans="1:19" x14ac:dyDescent="0.35">
      <c r="A101" s="121">
        <v>16</v>
      </c>
      <c r="B101" s="112"/>
      <c r="C101" s="112"/>
      <c r="D101" s="112"/>
      <c r="E101" s="112">
        <f t="shared" ca="1" si="11"/>
        <v>-26.317211231580032</v>
      </c>
      <c r="F101" s="112">
        <f t="shared" ca="1" si="8"/>
        <v>-26.317211231580032</v>
      </c>
      <c r="G101" s="112">
        <f t="shared" ca="1" si="6"/>
        <v>-26.317211231580032</v>
      </c>
      <c r="H101" s="156">
        <f t="shared" ca="1" si="7"/>
        <v>-5.727391936735553</v>
      </c>
      <c r="I101" s="157">
        <f t="shared" ca="1" si="9"/>
        <v>-664.42789551982696</v>
      </c>
      <c r="K101" s="112">
        <f t="shared" ca="1" si="12"/>
        <v>-879.60508227666264</v>
      </c>
      <c r="O101" s="23">
        <v>29</v>
      </c>
      <c r="P101" s="112">
        <v>-1221.7288282872037</v>
      </c>
      <c r="Q101" s="112">
        <v>-1185.023211000632</v>
      </c>
      <c r="R101" s="112">
        <v>188.70982088979395</v>
      </c>
      <c r="S101" s="112">
        <v>204.17926675025581</v>
      </c>
    </row>
    <row r="102" spans="1:19" x14ac:dyDescent="0.35">
      <c r="A102" s="121">
        <v>17</v>
      </c>
      <c r="B102" s="112"/>
      <c r="C102" s="112"/>
      <c r="D102" s="112"/>
      <c r="E102" s="112">
        <f t="shared" ca="1" si="11"/>
        <v>-26.317211231580032</v>
      </c>
      <c r="F102" s="112">
        <f t="shared" ca="1" si="8"/>
        <v>-26.317211231580032</v>
      </c>
      <c r="G102" s="112">
        <f t="shared" ca="1" si="6"/>
        <v>-26.317211231580032</v>
      </c>
      <c r="H102" s="156">
        <f t="shared" ca="1" si="7"/>
        <v>-5.206719942486866</v>
      </c>
      <c r="I102" s="157">
        <f t="shared" ca="1" si="9"/>
        <v>-669.63461546231383</v>
      </c>
      <c r="K102" s="112">
        <f t="shared" ca="1" si="12"/>
        <v>-905.92229350824266</v>
      </c>
      <c r="O102" s="23">
        <v>30</v>
      </c>
      <c r="P102" s="112">
        <v>-1248.0460395187838</v>
      </c>
      <c r="Q102" s="112">
        <v>-1211.514356961469</v>
      </c>
      <c r="R102" s="112">
        <v>205.73046649655731</v>
      </c>
      <c r="S102" s="112">
        <v>220.38712023615636</v>
      </c>
    </row>
    <row r="103" spans="1:19" x14ac:dyDescent="0.35">
      <c r="A103" s="121">
        <v>18</v>
      </c>
      <c r="B103" s="112"/>
      <c r="C103" s="112"/>
      <c r="D103" s="112"/>
      <c r="E103" s="112">
        <f t="shared" ca="1" si="11"/>
        <v>-26.317211231580032</v>
      </c>
      <c r="F103" s="112">
        <f t="shared" ca="1" si="8"/>
        <v>-26.317211231580032</v>
      </c>
      <c r="G103" s="112">
        <f t="shared" ca="1" si="6"/>
        <v>-26.317211231580032</v>
      </c>
      <c r="H103" s="156">
        <f t="shared" ca="1" si="7"/>
        <v>-4.7333817658971507</v>
      </c>
      <c r="I103" s="157">
        <f t="shared" ca="1" si="9"/>
        <v>-674.36799722821104</v>
      </c>
      <c r="K103" s="112">
        <f t="shared" ca="1" si="12"/>
        <v>-932.23950473982268</v>
      </c>
      <c r="O103" s="23">
        <v>31</v>
      </c>
      <c r="P103" s="112">
        <v>-1274.3632507503639</v>
      </c>
      <c r="Q103" s="112">
        <v>-1238.0055029223061</v>
      </c>
      <c r="R103" s="112">
        <v>222.75111210332068</v>
      </c>
      <c r="S103" s="112">
        <v>236.59497372205692</v>
      </c>
    </row>
    <row r="104" spans="1:19" x14ac:dyDescent="0.35">
      <c r="A104" s="121">
        <v>19</v>
      </c>
      <c r="B104" s="112"/>
      <c r="C104" s="112"/>
      <c r="D104" s="112"/>
      <c r="E104" s="112">
        <f t="shared" ca="1" si="11"/>
        <v>-26.317211231580032</v>
      </c>
      <c r="F104" s="112">
        <f t="shared" ca="1" si="8"/>
        <v>-26.317211231580032</v>
      </c>
      <c r="G104" s="112">
        <f t="shared" ca="1" si="6"/>
        <v>-26.317211231580032</v>
      </c>
      <c r="H104" s="156">
        <f t="shared" ca="1" si="7"/>
        <v>-4.3030743326337726</v>
      </c>
      <c r="I104" s="157">
        <f t="shared" ca="1" si="9"/>
        <v>-678.67107156084478</v>
      </c>
      <c r="K104" s="112">
        <f t="shared" ca="1" si="12"/>
        <v>-958.5567159714027</v>
      </c>
      <c r="O104" s="23">
        <v>32</v>
      </c>
      <c r="P104" s="112">
        <v>-1300.6804619819441</v>
      </c>
      <c r="Q104" s="112">
        <v>-1264.4966488831431</v>
      </c>
      <c r="R104" s="112">
        <v>239.77175771008405</v>
      </c>
      <c r="S104" s="112">
        <v>252.80282720795748</v>
      </c>
    </row>
    <row r="105" spans="1:19" ht="15" thickBot="1" x14ac:dyDescent="0.4">
      <c r="A105" s="130">
        <v>20</v>
      </c>
      <c r="B105" s="131"/>
      <c r="C105" s="131">
        <f ca="1">IF(I77=1,0,-C85+B81*ABS(B85))</f>
        <v>83.369036831160429</v>
      </c>
      <c r="D105" s="131"/>
      <c r="E105" s="131">
        <f t="shared" ca="1" si="11"/>
        <v>-26.317211231580032</v>
      </c>
      <c r="F105" s="131">
        <f t="shared" ca="1" si="8"/>
        <v>-26.317211231580032</v>
      </c>
      <c r="G105" s="131">
        <f t="shared" ca="1" si="6"/>
        <v>57.051825599580397</v>
      </c>
      <c r="H105" s="158">
        <f t="shared" ca="1" si="7"/>
        <v>8.4803903425223357</v>
      </c>
      <c r="I105" s="159">
        <f t="shared" ca="1" si="9"/>
        <v>-670.19068121832242</v>
      </c>
      <c r="K105" s="112">
        <f ca="1">K104+G105</f>
        <v>-901.50489037182228</v>
      </c>
      <c r="O105" s="23">
        <v>33</v>
      </c>
      <c r="P105" s="112">
        <v>-1326.9976732135242</v>
      </c>
      <c r="Q105" s="112">
        <v>-1290.9877948439801</v>
      </c>
      <c r="R105" s="112">
        <v>256.79240331684741</v>
      </c>
      <c r="S105" s="112">
        <v>269.01068069385803</v>
      </c>
    </row>
    <row r="106" spans="1:19" x14ac:dyDescent="0.35">
      <c r="A106" s="121">
        <v>21</v>
      </c>
      <c r="C106" s="112"/>
      <c r="D106" s="112"/>
      <c r="E106" s="112">
        <f t="shared" ca="1" si="11"/>
        <v>-26.317211231580032</v>
      </c>
      <c r="F106" s="67">
        <f t="shared" ref="F106:F125" ca="1" si="13">IF(E106-D106&gt;0,(E106-D106)*(1-$B$78),E106-D106)</f>
        <v>-26.317211231580032</v>
      </c>
      <c r="G106" s="67">
        <f ca="1">SUM(B106:C106,D106,F106)</f>
        <v>-26.317211231580032</v>
      </c>
      <c r="H106" s="67">
        <f t="shared" ref="H106:H125" ca="1" si="14">G106*1/(1+$B$79)^A106</f>
        <v>-3.5562597790361754</v>
      </c>
      <c r="I106" s="67">
        <f t="shared" ref="I106:I125" ca="1" si="15">H106+I105</f>
        <v>-673.74694099735859</v>
      </c>
      <c r="K106" s="112">
        <f t="shared" ref="K106:K124" ca="1" si="16">K105+G106</f>
        <v>-927.8221016034023</v>
      </c>
      <c r="O106" s="23">
        <v>34</v>
      </c>
      <c r="P106" s="112">
        <v>-1353.3148844451043</v>
      </c>
      <c r="Q106" s="112">
        <v>-1317.4789408048171</v>
      </c>
      <c r="R106" s="112">
        <v>273.81304892361078</v>
      </c>
      <c r="S106" s="112">
        <v>285.21853417975859</v>
      </c>
    </row>
    <row r="107" spans="1:19" x14ac:dyDescent="0.35">
      <c r="A107">
        <v>22</v>
      </c>
      <c r="C107" s="112"/>
      <c r="D107" s="112"/>
      <c r="E107" s="112">
        <f t="shared" ca="1" si="11"/>
        <v>-26.317211231580032</v>
      </c>
      <c r="F107" s="67">
        <f t="shared" ca="1" si="13"/>
        <v>-26.317211231580032</v>
      </c>
      <c r="G107" s="67">
        <f t="shared" ref="G107:G125" ca="1" si="17">SUM(B107:C107,D107,F107)</f>
        <v>-26.317211231580032</v>
      </c>
      <c r="H107" s="67">
        <f t="shared" ca="1" si="14"/>
        <v>-3.2329634354874317</v>
      </c>
      <c r="I107" s="67">
        <f t="shared" ca="1" si="15"/>
        <v>-676.97990443284607</v>
      </c>
      <c r="K107" s="112">
        <f t="shared" ca="1" si="16"/>
        <v>-954.13931283498232</v>
      </c>
      <c r="O107" s="23">
        <v>35</v>
      </c>
      <c r="P107" s="112">
        <v>-1379.6320956766845</v>
      </c>
      <c r="Q107" s="112">
        <v>-1343.9700867656541</v>
      </c>
      <c r="R107" s="112">
        <v>290.83369453037415</v>
      </c>
      <c r="S107" s="112">
        <v>301.42638766565915</v>
      </c>
    </row>
    <row r="108" spans="1:19" x14ac:dyDescent="0.35">
      <c r="A108">
        <v>23</v>
      </c>
      <c r="C108" s="112"/>
      <c r="D108" s="112"/>
      <c r="E108" s="112">
        <f t="shared" ca="1" si="11"/>
        <v>-26.317211231580032</v>
      </c>
      <c r="F108" s="67">
        <f t="shared" ca="1" si="13"/>
        <v>-26.317211231580032</v>
      </c>
      <c r="G108" s="67">
        <f t="shared" ca="1" si="17"/>
        <v>-26.317211231580032</v>
      </c>
      <c r="H108" s="67">
        <f t="shared" ca="1" si="14"/>
        <v>-2.9390576686249377</v>
      </c>
      <c r="I108" s="67">
        <f t="shared" ca="1" si="15"/>
        <v>-679.91896210147104</v>
      </c>
      <c r="K108" s="112">
        <f t="shared" ca="1" si="16"/>
        <v>-980.45652406656234</v>
      </c>
      <c r="O108" s="23">
        <v>36</v>
      </c>
      <c r="P108" s="112">
        <v>-1405.9493069082646</v>
      </c>
      <c r="Q108" s="112">
        <v>-1370.4612327264911</v>
      </c>
      <c r="R108" s="112">
        <v>307.85434013713751</v>
      </c>
      <c r="S108" s="112">
        <v>317.63424115155971</v>
      </c>
    </row>
    <row r="109" spans="1:19" x14ac:dyDescent="0.35">
      <c r="A109">
        <v>24</v>
      </c>
      <c r="C109" s="112"/>
      <c r="D109" s="112"/>
      <c r="E109" s="112">
        <f t="shared" ca="1" si="11"/>
        <v>-26.317211231580032</v>
      </c>
      <c r="F109" s="67">
        <f t="shared" ca="1" si="13"/>
        <v>-26.317211231580032</v>
      </c>
      <c r="G109" s="67">
        <f t="shared" ca="1" si="17"/>
        <v>-26.317211231580032</v>
      </c>
      <c r="H109" s="67">
        <f t="shared" ca="1" si="14"/>
        <v>-2.671870607840853</v>
      </c>
      <c r="I109" s="67">
        <f t="shared" ca="1" si="15"/>
        <v>-682.59083270931194</v>
      </c>
      <c r="K109" s="112">
        <f t="shared" ca="1" si="16"/>
        <v>-1006.7737352981424</v>
      </c>
      <c r="O109" s="23">
        <v>37</v>
      </c>
      <c r="P109" s="112">
        <v>-1432.2665181398447</v>
      </c>
      <c r="Q109" s="112">
        <v>-1396.9523786873281</v>
      </c>
      <c r="R109" s="112">
        <v>324.87498574390088</v>
      </c>
      <c r="S109" s="112">
        <v>333.84209463746026</v>
      </c>
    </row>
    <row r="110" spans="1:19" x14ac:dyDescent="0.35">
      <c r="A110">
        <v>25</v>
      </c>
      <c r="C110" s="112"/>
      <c r="D110" s="112"/>
      <c r="E110" s="112">
        <f t="shared" ca="1" si="11"/>
        <v>-26.317211231580032</v>
      </c>
      <c r="F110" s="67">
        <f t="shared" ca="1" si="13"/>
        <v>-26.317211231580032</v>
      </c>
      <c r="G110" s="67">
        <f t="shared" ca="1" si="17"/>
        <v>-26.317211231580032</v>
      </c>
      <c r="H110" s="67">
        <f t="shared" ca="1" si="14"/>
        <v>-2.4289732798553203</v>
      </c>
      <c r="I110" s="67">
        <f t="shared" ca="1" si="15"/>
        <v>-685.01980598916725</v>
      </c>
      <c r="K110" s="112">
        <f t="shared" ca="1" si="16"/>
        <v>-1033.0909465297225</v>
      </c>
      <c r="O110" s="23">
        <v>38</v>
      </c>
      <c r="P110" s="112">
        <v>-1458.5837293714249</v>
      </c>
      <c r="Q110" s="112">
        <v>-1423.4435246481651</v>
      </c>
      <c r="R110" s="112">
        <v>341.89563135066425</v>
      </c>
      <c r="S110" s="112">
        <v>350.04994812336082</v>
      </c>
    </row>
    <row r="111" spans="1:19" x14ac:dyDescent="0.35">
      <c r="A111">
        <v>26</v>
      </c>
      <c r="C111" s="112"/>
      <c r="D111" s="112"/>
      <c r="E111" s="112">
        <f t="shared" ca="1" si="11"/>
        <v>-26.317211231580032</v>
      </c>
      <c r="F111" s="67">
        <f t="shared" ca="1" si="13"/>
        <v>-26.317211231580032</v>
      </c>
      <c r="G111" s="67">
        <f t="shared" ca="1" si="17"/>
        <v>-26.317211231580032</v>
      </c>
      <c r="H111" s="67">
        <f t="shared" ca="1" si="14"/>
        <v>-2.2081575271411999</v>
      </c>
      <c r="I111" s="67">
        <f t="shared" ca="1" si="15"/>
        <v>-687.22796351630848</v>
      </c>
      <c r="K111" s="112">
        <f t="shared" ca="1" si="16"/>
        <v>-1059.4081577613026</v>
      </c>
      <c r="O111" s="23">
        <v>39</v>
      </c>
      <c r="P111" s="112">
        <v>-1484.900940603005</v>
      </c>
      <c r="Q111" s="112">
        <v>-1449.9346706090021</v>
      </c>
      <c r="R111" s="112">
        <v>358.91627695742761</v>
      </c>
      <c r="S111" s="112">
        <v>366.25780160926138</v>
      </c>
    </row>
    <row r="112" spans="1:19" x14ac:dyDescent="0.35">
      <c r="A112">
        <v>27</v>
      </c>
      <c r="C112" s="112"/>
      <c r="D112" s="112"/>
      <c r="E112" s="112">
        <f t="shared" ca="1" si="11"/>
        <v>-26.317211231580032</v>
      </c>
      <c r="F112" s="67">
        <f t="shared" ca="1" si="13"/>
        <v>-26.317211231580032</v>
      </c>
      <c r="G112" s="67">
        <f t="shared" ca="1" si="17"/>
        <v>-26.317211231580032</v>
      </c>
      <c r="H112" s="67">
        <f t="shared" ca="1" si="14"/>
        <v>-2.0074159337647273</v>
      </c>
      <c r="I112" s="67">
        <f t="shared" ca="1" si="15"/>
        <v>-689.2353794500732</v>
      </c>
      <c r="K112" s="112">
        <f t="shared" ca="1" si="16"/>
        <v>-1085.7253689928827</v>
      </c>
      <c r="O112" s="23">
        <v>40</v>
      </c>
      <c r="P112" s="112">
        <v>-1511.2181518345851</v>
      </c>
      <c r="Q112" s="112">
        <v>-1476.4258165698391</v>
      </c>
      <c r="R112" s="112">
        <v>375.93692256419098</v>
      </c>
      <c r="S112" s="112">
        <v>382.46565509516194</v>
      </c>
    </row>
    <row r="113" spans="1:22" x14ac:dyDescent="0.35">
      <c r="A113">
        <v>28</v>
      </c>
      <c r="C113" s="112"/>
      <c r="D113" s="112"/>
      <c r="E113" s="112">
        <f t="shared" ca="1" si="11"/>
        <v>-26.317211231580032</v>
      </c>
      <c r="F113" s="67">
        <f t="shared" ca="1" si="13"/>
        <v>-26.317211231580032</v>
      </c>
      <c r="G113" s="67">
        <f t="shared" ca="1" si="17"/>
        <v>-26.317211231580032</v>
      </c>
      <c r="H113" s="67">
        <f t="shared" ca="1" si="14"/>
        <v>-1.824923576149752</v>
      </c>
      <c r="I113" s="67">
        <f t="shared" ca="1" si="15"/>
        <v>-691.06030302622298</v>
      </c>
      <c r="K113" s="112">
        <f t="shared" ca="1" si="16"/>
        <v>-1112.0425802244629</v>
      </c>
      <c r="O113" s="112"/>
      <c r="P113" s="112"/>
      <c r="Q113" s="112"/>
      <c r="R113" s="112"/>
    </row>
    <row r="114" spans="1:22" x14ac:dyDescent="0.35">
      <c r="A114">
        <v>29</v>
      </c>
      <c r="C114" s="112"/>
      <c r="D114" s="112"/>
      <c r="E114" s="112">
        <f t="shared" ca="1" si="11"/>
        <v>-26.317211231580032</v>
      </c>
      <c r="F114" s="67">
        <f t="shared" ca="1" si="13"/>
        <v>-26.317211231580032</v>
      </c>
      <c r="G114" s="67">
        <f t="shared" ca="1" si="17"/>
        <v>-26.317211231580032</v>
      </c>
      <c r="H114" s="67">
        <f t="shared" ca="1" si="14"/>
        <v>-1.6590214328634107</v>
      </c>
      <c r="I114" s="67">
        <f t="shared" ca="1" si="15"/>
        <v>-692.71932445908635</v>
      </c>
      <c r="K114" s="112">
        <f t="shared" ca="1" si="16"/>
        <v>-1138.359791456043</v>
      </c>
      <c r="O114" s="110"/>
      <c r="U114" s="183"/>
      <c r="V114" s="183"/>
    </row>
    <row r="115" spans="1:22" x14ac:dyDescent="0.35">
      <c r="A115">
        <v>30</v>
      </c>
      <c r="C115" s="112"/>
      <c r="D115" s="112"/>
      <c r="E115" s="112">
        <f t="shared" ca="1" si="11"/>
        <v>-26.317211231580032</v>
      </c>
      <c r="F115" s="67">
        <f t="shared" ca="1" si="13"/>
        <v>-26.317211231580032</v>
      </c>
      <c r="G115" s="67">
        <f t="shared" ca="1" si="17"/>
        <v>-26.317211231580032</v>
      </c>
      <c r="H115" s="67">
        <f t="shared" ca="1" si="14"/>
        <v>-1.5082013026031005</v>
      </c>
      <c r="I115" s="67">
        <f t="shared" ca="1" si="15"/>
        <v>-694.22752576168944</v>
      </c>
      <c r="K115" s="112">
        <f t="shared" ca="1" si="16"/>
        <v>-1164.6770026876231</v>
      </c>
    </row>
    <row r="116" spans="1:22" x14ac:dyDescent="0.35">
      <c r="A116">
        <v>31</v>
      </c>
      <c r="C116" s="112"/>
      <c r="D116" s="112"/>
      <c r="E116" s="112">
        <f t="shared" ca="1" si="11"/>
        <v>-26.317211231580032</v>
      </c>
      <c r="F116" s="67">
        <f t="shared" ca="1" si="13"/>
        <v>-26.317211231580032</v>
      </c>
      <c r="G116" s="67">
        <f t="shared" ca="1" si="17"/>
        <v>-26.317211231580032</v>
      </c>
      <c r="H116" s="67">
        <f t="shared" ca="1" si="14"/>
        <v>-1.3710920932755459</v>
      </c>
      <c r="I116" s="67">
        <f t="shared" ca="1" si="15"/>
        <v>-695.59861785496503</v>
      </c>
      <c r="K116" s="112">
        <f t="shared" ca="1" si="16"/>
        <v>-1190.9942139192033</v>
      </c>
      <c r="O116" s="115"/>
      <c r="P116" s="115"/>
      <c r="Q116" s="115"/>
      <c r="R116" s="115"/>
      <c r="S116" s="115"/>
      <c r="T116" s="115"/>
      <c r="U116" s="115"/>
      <c r="V116" s="115"/>
    </row>
    <row r="117" spans="1:22" x14ac:dyDescent="0.35">
      <c r="A117">
        <v>32</v>
      </c>
      <c r="C117" s="112"/>
      <c r="D117" s="112"/>
      <c r="E117" s="112">
        <f t="shared" ca="1" si="11"/>
        <v>-26.317211231580032</v>
      </c>
      <c r="F117" s="67">
        <f t="shared" ca="1" si="13"/>
        <v>-26.317211231580032</v>
      </c>
      <c r="G117" s="67">
        <f t="shared" ca="1" si="17"/>
        <v>-26.317211231580032</v>
      </c>
      <c r="H117" s="67">
        <f t="shared" ca="1" si="14"/>
        <v>-1.2464473575232236</v>
      </c>
      <c r="I117" s="67">
        <f t="shared" ca="1" si="15"/>
        <v>-696.84506521248829</v>
      </c>
      <c r="K117" s="112">
        <f t="shared" ca="1" si="16"/>
        <v>-1217.3114251507834</v>
      </c>
      <c r="O117" s="115"/>
      <c r="P117" s="115"/>
      <c r="Q117" s="115"/>
      <c r="R117" s="115"/>
      <c r="S117" s="115"/>
      <c r="T117" s="115"/>
      <c r="U117" s="115"/>
    </row>
    <row r="118" spans="1:22" x14ac:dyDescent="0.35">
      <c r="A118">
        <v>33</v>
      </c>
      <c r="C118" s="112"/>
      <c r="D118" s="112"/>
      <c r="E118" s="112">
        <f t="shared" ca="1" si="11"/>
        <v>-26.317211231580032</v>
      </c>
      <c r="F118" s="67">
        <f t="shared" ca="1" si="13"/>
        <v>-26.317211231580032</v>
      </c>
      <c r="G118" s="67">
        <f t="shared" ca="1" si="17"/>
        <v>-26.317211231580032</v>
      </c>
      <c r="H118" s="67">
        <f t="shared" ca="1" si="14"/>
        <v>-1.1331339613847484</v>
      </c>
      <c r="I118" s="67">
        <f t="shared" ca="1" si="15"/>
        <v>-697.97819917387301</v>
      </c>
      <c r="K118" s="112">
        <f t="shared" ca="1" si="16"/>
        <v>-1243.6286363823635</v>
      </c>
      <c r="O118" s="115"/>
      <c r="P118" s="115"/>
      <c r="Q118" s="115"/>
      <c r="R118" s="115"/>
      <c r="S118" s="115"/>
      <c r="T118" s="115"/>
      <c r="U118" s="115"/>
    </row>
    <row r="119" spans="1:22" x14ac:dyDescent="0.35">
      <c r="A119">
        <v>34</v>
      </c>
      <c r="C119" s="112"/>
      <c r="D119" s="112"/>
      <c r="E119" s="112">
        <f t="shared" ca="1" si="11"/>
        <v>-26.317211231580032</v>
      </c>
      <c r="F119" s="67">
        <f t="shared" ca="1" si="13"/>
        <v>-26.317211231580032</v>
      </c>
      <c r="G119" s="67">
        <f t="shared" ca="1" si="17"/>
        <v>-26.317211231580032</v>
      </c>
      <c r="H119" s="67">
        <f t="shared" ca="1" si="14"/>
        <v>-1.0301217830770439</v>
      </c>
      <c r="I119" s="67">
        <f t="shared" ca="1" si="15"/>
        <v>-699.00832095695</v>
      </c>
      <c r="K119" s="112">
        <f t="shared" ca="1" si="16"/>
        <v>-1269.9458476139437</v>
      </c>
      <c r="O119" s="115"/>
      <c r="P119" s="115"/>
      <c r="Q119" s="115"/>
      <c r="R119" s="115"/>
      <c r="S119" s="115"/>
      <c r="T119" s="115"/>
      <c r="U119" s="115"/>
    </row>
    <row r="120" spans="1:22" x14ac:dyDescent="0.35">
      <c r="A120">
        <v>35</v>
      </c>
      <c r="C120" s="112"/>
      <c r="D120" s="112"/>
      <c r="E120" s="112">
        <f t="shared" ca="1" si="11"/>
        <v>-26.317211231580032</v>
      </c>
      <c r="F120" s="67">
        <f t="shared" ca="1" si="13"/>
        <v>-26.317211231580032</v>
      </c>
      <c r="G120" s="67">
        <f t="shared" ca="1" si="17"/>
        <v>-26.317211231580032</v>
      </c>
      <c r="H120" s="67">
        <f t="shared" ca="1" si="14"/>
        <v>-0.93647434825185805</v>
      </c>
      <c r="I120" s="67">
        <f t="shared" ca="1" si="15"/>
        <v>-699.94479530520186</v>
      </c>
      <c r="K120" s="112">
        <f t="shared" ca="1" si="16"/>
        <v>-1296.2630588455238</v>
      </c>
      <c r="O120" s="115"/>
      <c r="P120" s="115"/>
      <c r="Q120" s="115"/>
      <c r="R120" s="115"/>
      <c r="S120" s="115"/>
      <c r="T120" s="115"/>
      <c r="U120" s="115"/>
    </row>
    <row r="121" spans="1:22" x14ac:dyDescent="0.35">
      <c r="A121">
        <v>36</v>
      </c>
      <c r="C121" s="112"/>
      <c r="D121" s="112"/>
      <c r="E121" s="112">
        <f t="shared" ca="1" si="11"/>
        <v>-26.317211231580032</v>
      </c>
      <c r="F121" s="67">
        <f t="shared" ca="1" si="13"/>
        <v>-26.317211231580032</v>
      </c>
      <c r="G121" s="67">
        <f t="shared" ca="1" si="17"/>
        <v>-26.317211231580032</v>
      </c>
      <c r="H121" s="67">
        <f t="shared" ca="1" si="14"/>
        <v>-0.85134031659259823</v>
      </c>
      <c r="I121" s="67">
        <f t="shared" ca="1" si="15"/>
        <v>-700.79613562179452</v>
      </c>
      <c r="K121" s="112">
        <f t="shared" ca="1" si="16"/>
        <v>-1322.5802700771039</v>
      </c>
      <c r="O121" s="115"/>
      <c r="P121" s="115"/>
      <c r="Q121" s="115"/>
      <c r="R121" s="115"/>
      <c r="S121" s="115"/>
      <c r="T121" s="115"/>
      <c r="U121" s="115"/>
    </row>
    <row r="122" spans="1:22" x14ac:dyDescent="0.35">
      <c r="A122">
        <v>37</v>
      </c>
      <c r="C122" s="112"/>
      <c r="D122" s="112"/>
      <c r="E122" s="112">
        <f t="shared" ca="1" si="11"/>
        <v>-26.317211231580032</v>
      </c>
      <c r="F122" s="67">
        <f t="shared" ca="1" si="13"/>
        <v>-26.317211231580032</v>
      </c>
      <c r="G122" s="67">
        <f t="shared" ca="1" si="17"/>
        <v>-26.317211231580032</v>
      </c>
      <c r="H122" s="67">
        <f t="shared" ca="1" si="14"/>
        <v>-0.7739457423569075</v>
      </c>
      <c r="I122" s="67">
        <f t="shared" ca="1" si="15"/>
        <v>-701.57008136415141</v>
      </c>
      <c r="K122" s="112">
        <f t="shared" ca="1" si="16"/>
        <v>-1348.8974813086841</v>
      </c>
      <c r="O122" s="115"/>
      <c r="P122" s="115"/>
      <c r="Q122" s="115"/>
      <c r="R122" s="115"/>
      <c r="S122" s="115"/>
      <c r="T122" s="115"/>
      <c r="U122" s="115"/>
    </row>
    <row r="123" spans="1:22" x14ac:dyDescent="0.35">
      <c r="A123">
        <v>38</v>
      </c>
      <c r="C123" s="112"/>
      <c r="D123" s="112"/>
      <c r="E123" s="112">
        <f t="shared" ca="1" si="11"/>
        <v>-26.317211231580032</v>
      </c>
      <c r="F123" s="67">
        <f t="shared" ca="1" si="13"/>
        <v>-26.317211231580032</v>
      </c>
      <c r="G123" s="67">
        <f t="shared" ca="1" si="17"/>
        <v>-26.317211231580032</v>
      </c>
      <c r="H123" s="67">
        <f t="shared" ca="1" si="14"/>
        <v>-0.70358703850627935</v>
      </c>
      <c r="I123" s="67">
        <f t="shared" ca="1" si="15"/>
        <v>-702.27366840265768</v>
      </c>
      <c r="K123" s="112">
        <f t="shared" ca="1" si="16"/>
        <v>-1375.2146925402642</v>
      </c>
      <c r="O123" s="115"/>
      <c r="P123" s="115"/>
      <c r="Q123" s="115"/>
      <c r="R123" s="115"/>
      <c r="S123" s="115"/>
      <c r="T123" s="115"/>
      <c r="U123" s="115"/>
    </row>
    <row r="124" spans="1:22" x14ac:dyDescent="0.35">
      <c r="A124">
        <v>39</v>
      </c>
      <c r="C124" s="112"/>
      <c r="D124" s="112"/>
      <c r="E124" s="112">
        <f t="shared" ca="1" si="11"/>
        <v>-26.317211231580032</v>
      </c>
      <c r="F124" s="67">
        <f t="shared" ca="1" si="13"/>
        <v>-26.317211231580032</v>
      </c>
      <c r="G124" s="67">
        <f t="shared" ca="1" si="17"/>
        <v>-26.317211231580032</v>
      </c>
      <c r="H124" s="67">
        <f t="shared" ca="1" si="14"/>
        <v>-0.63962458046025394</v>
      </c>
      <c r="I124" s="67">
        <f t="shared" ca="1" si="15"/>
        <v>-702.91329298311791</v>
      </c>
      <c r="K124" s="112">
        <f t="shared" ca="1" si="16"/>
        <v>-1401.5319037718443</v>
      </c>
      <c r="O124" s="115"/>
      <c r="P124" s="115"/>
      <c r="Q124" s="115"/>
      <c r="R124" s="115"/>
      <c r="S124" s="115"/>
      <c r="T124" s="115"/>
      <c r="U124" s="115"/>
    </row>
    <row r="125" spans="1:22" x14ac:dyDescent="0.35">
      <c r="A125">
        <v>40</v>
      </c>
      <c r="C125" s="112"/>
      <c r="D125" s="112"/>
      <c r="E125" s="112">
        <f t="shared" ca="1" si="11"/>
        <v>-26.317211231580032</v>
      </c>
      <c r="F125" s="67">
        <f t="shared" ca="1" si="13"/>
        <v>-26.317211231580032</v>
      </c>
      <c r="G125" s="67">
        <f t="shared" ca="1" si="17"/>
        <v>-26.317211231580032</v>
      </c>
      <c r="H125" s="67">
        <f t="shared" ca="1" si="14"/>
        <v>-0.58147689132750369</v>
      </c>
      <c r="I125" s="67">
        <f t="shared" ca="1" si="15"/>
        <v>-703.49476987444541</v>
      </c>
      <c r="K125" s="112">
        <f ca="1">K124+G125</f>
        <v>-1427.8491150034245</v>
      </c>
      <c r="O125" s="115"/>
      <c r="P125" s="115"/>
      <c r="Q125" s="115"/>
      <c r="R125" s="115"/>
      <c r="S125" s="115"/>
      <c r="T125" s="115"/>
      <c r="U125" s="115"/>
    </row>
    <row r="126" spans="1:22" x14ac:dyDescent="0.35">
      <c r="O126" s="115"/>
      <c r="P126" s="115"/>
      <c r="Q126" s="115"/>
      <c r="R126" s="115"/>
      <c r="S126" s="115"/>
      <c r="T126" s="115"/>
      <c r="U126" s="115"/>
    </row>
    <row r="127" spans="1:22" x14ac:dyDescent="0.35">
      <c r="O127" s="115"/>
      <c r="P127" s="115"/>
      <c r="Q127" s="115"/>
      <c r="R127" s="115"/>
      <c r="S127" s="115"/>
      <c r="T127" s="115"/>
      <c r="U127" s="115"/>
    </row>
    <row r="128" spans="1:22" x14ac:dyDescent="0.35">
      <c r="O128" s="115"/>
      <c r="P128" s="115"/>
      <c r="Q128" s="115"/>
      <c r="R128" s="115"/>
      <c r="S128" s="115"/>
      <c r="T128" s="115"/>
      <c r="U128" s="115"/>
    </row>
    <row r="129" spans="15:21" x14ac:dyDescent="0.35">
      <c r="O129" s="115"/>
      <c r="P129" s="115"/>
      <c r="Q129" s="115"/>
      <c r="R129" s="115"/>
      <c r="S129" s="115"/>
      <c r="T129" s="115"/>
      <c r="U129" s="115"/>
    </row>
    <row r="130" spans="15:21" x14ac:dyDescent="0.35">
      <c r="O130" s="115"/>
      <c r="P130" s="115"/>
      <c r="Q130" s="115"/>
      <c r="R130" s="115"/>
      <c r="S130" s="115"/>
      <c r="T130" s="115"/>
      <c r="U130" s="115"/>
    </row>
    <row r="131" spans="15:21" x14ac:dyDescent="0.35">
      <c r="O131" s="115"/>
      <c r="P131" s="115"/>
      <c r="Q131" s="115"/>
      <c r="R131" s="115"/>
      <c r="S131" s="115"/>
      <c r="T131" s="115"/>
      <c r="U131" s="115"/>
    </row>
    <row r="132" spans="15:21" x14ac:dyDescent="0.35">
      <c r="O132" s="115"/>
      <c r="P132" s="115"/>
      <c r="Q132" s="115"/>
      <c r="R132" s="115"/>
      <c r="S132" s="115"/>
      <c r="T132" s="115"/>
      <c r="U132" s="115"/>
    </row>
    <row r="133" spans="15:21" x14ac:dyDescent="0.35">
      <c r="O133" s="115"/>
      <c r="P133" s="115"/>
      <c r="Q133" s="115"/>
      <c r="R133" s="115"/>
      <c r="S133" s="115"/>
      <c r="T133" s="115"/>
      <c r="U133" s="115"/>
    </row>
    <row r="134" spans="15:21" x14ac:dyDescent="0.35">
      <c r="O134" s="115"/>
      <c r="P134" s="115"/>
      <c r="Q134" s="115"/>
      <c r="R134" s="115"/>
      <c r="S134" s="115"/>
      <c r="T134" s="115"/>
      <c r="U134" s="115"/>
    </row>
    <row r="135" spans="15:21" x14ac:dyDescent="0.35">
      <c r="O135" s="115"/>
      <c r="P135" s="115"/>
      <c r="Q135" s="115"/>
      <c r="R135" s="115"/>
      <c r="S135" s="115"/>
      <c r="T135" s="115"/>
      <c r="U135" s="115"/>
    </row>
    <row r="136" spans="15:21" x14ac:dyDescent="0.35">
      <c r="O136" s="115"/>
      <c r="P136" s="115"/>
      <c r="Q136" s="115"/>
      <c r="R136" s="115"/>
      <c r="S136" s="115"/>
      <c r="T136" s="115"/>
      <c r="U136" s="115"/>
    </row>
    <row r="137" spans="15:21" x14ac:dyDescent="0.35">
      <c r="O137" s="115"/>
      <c r="P137" s="115"/>
      <c r="Q137" s="115"/>
      <c r="R137" s="115"/>
      <c r="S137" s="115"/>
      <c r="T137" s="115"/>
      <c r="U137" s="115"/>
    </row>
    <row r="138" spans="15:21" x14ac:dyDescent="0.35">
      <c r="O138" s="115"/>
      <c r="P138" s="115"/>
      <c r="Q138" s="115"/>
      <c r="R138" s="115"/>
      <c r="S138" s="115"/>
      <c r="T138" s="115"/>
      <c r="U138" s="115"/>
    </row>
    <row r="139" spans="15:21" x14ac:dyDescent="0.35">
      <c r="O139" s="115"/>
      <c r="P139" s="115"/>
      <c r="Q139" s="115"/>
      <c r="R139" s="115"/>
      <c r="S139" s="115"/>
      <c r="T139" s="115"/>
      <c r="U139" s="115"/>
    </row>
    <row r="140" spans="15:21" x14ac:dyDescent="0.35">
      <c r="O140" s="115"/>
      <c r="P140" s="115"/>
      <c r="Q140" s="115"/>
      <c r="R140" s="115"/>
      <c r="S140" s="115"/>
      <c r="T140" s="115"/>
      <c r="U140" s="115"/>
    </row>
    <row r="141" spans="15:21" x14ac:dyDescent="0.35">
      <c r="O141" s="115"/>
      <c r="P141" s="115"/>
      <c r="Q141" s="115"/>
      <c r="R141" s="115"/>
      <c r="S141" s="115"/>
      <c r="T141" s="115"/>
      <c r="U141" s="115"/>
    </row>
    <row r="142" spans="15:21" x14ac:dyDescent="0.35">
      <c r="O142" s="115"/>
      <c r="P142" s="115"/>
      <c r="Q142" s="115"/>
      <c r="R142" s="115"/>
      <c r="S142" s="115"/>
      <c r="T142" s="115"/>
      <c r="U142" s="115"/>
    </row>
    <row r="143" spans="15:21" x14ac:dyDescent="0.35">
      <c r="O143" s="115"/>
      <c r="P143" s="115"/>
      <c r="Q143" s="115"/>
      <c r="R143" s="115"/>
      <c r="S143" s="115"/>
      <c r="T143" s="115"/>
      <c r="U143" s="115"/>
    </row>
    <row r="144" spans="15:21" x14ac:dyDescent="0.35">
      <c r="O144" s="115"/>
      <c r="P144" s="115"/>
      <c r="Q144" s="115"/>
      <c r="R144" s="115"/>
      <c r="S144" s="115"/>
      <c r="T144" s="115"/>
      <c r="U144" s="115"/>
    </row>
    <row r="145" spans="15:21" x14ac:dyDescent="0.35">
      <c r="O145" s="115"/>
      <c r="P145" s="115"/>
      <c r="Q145" s="115"/>
      <c r="R145" s="115"/>
      <c r="S145" s="115"/>
      <c r="T145" s="115"/>
      <c r="U145" s="115"/>
    </row>
    <row r="146" spans="15:21" x14ac:dyDescent="0.35">
      <c r="O146" s="115"/>
      <c r="P146" s="115"/>
      <c r="Q146" s="115"/>
      <c r="R146" s="115"/>
      <c r="S146" s="115"/>
      <c r="T146" s="115"/>
      <c r="U146" s="115"/>
    </row>
    <row r="147" spans="15:21" x14ac:dyDescent="0.35">
      <c r="O147" s="115"/>
      <c r="P147" s="115"/>
      <c r="Q147" s="115"/>
      <c r="R147" s="115"/>
      <c r="S147" s="115"/>
      <c r="T147" s="115"/>
      <c r="U147" s="115"/>
    </row>
    <row r="148" spans="15:21" x14ac:dyDescent="0.35">
      <c r="O148" s="115"/>
      <c r="P148" s="115"/>
      <c r="Q148" s="115"/>
      <c r="R148" s="115"/>
      <c r="S148" s="115"/>
      <c r="T148" s="115"/>
      <c r="U148" s="115"/>
    </row>
    <row r="149" spans="15:21" x14ac:dyDescent="0.35">
      <c r="O149" s="115"/>
      <c r="P149" s="115"/>
      <c r="Q149" s="115"/>
      <c r="R149" s="115"/>
      <c r="S149" s="115"/>
      <c r="T149" s="115"/>
      <c r="U149" s="115"/>
    </row>
    <row r="150" spans="15:21" x14ac:dyDescent="0.35">
      <c r="O150" s="115"/>
      <c r="P150" s="115"/>
      <c r="Q150" s="115"/>
      <c r="R150" s="115"/>
      <c r="S150" s="115"/>
      <c r="T150" s="115"/>
      <c r="U150" s="115"/>
    </row>
    <row r="151" spans="15:21" x14ac:dyDescent="0.35">
      <c r="O151" s="115"/>
      <c r="P151" s="115"/>
      <c r="Q151" s="115"/>
      <c r="R151" s="115"/>
      <c r="S151" s="115"/>
      <c r="T151" s="115"/>
      <c r="U151" s="115"/>
    </row>
    <row r="152" spans="15:21" x14ac:dyDescent="0.35">
      <c r="O152" s="115"/>
      <c r="P152" s="115"/>
      <c r="Q152" s="115"/>
      <c r="R152" s="115"/>
      <c r="S152" s="115"/>
      <c r="T152" s="115"/>
      <c r="U152" s="115"/>
    </row>
    <row r="153" spans="15:21" x14ac:dyDescent="0.35">
      <c r="O153" s="115"/>
      <c r="P153" s="115"/>
      <c r="Q153" s="115"/>
      <c r="R153" s="115"/>
      <c r="S153" s="115"/>
      <c r="T153" s="115"/>
      <c r="U153" s="115"/>
    </row>
    <row r="154" spans="15:21" x14ac:dyDescent="0.35">
      <c r="O154" s="115"/>
      <c r="P154" s="115"/>
      <c r="Q154" s="115"/>
      <c r="R154" s="115"/>
      <c r="S154" s="115"/>
      <c r="T154" s="115"/>
      <c r="U154" s="115"/>
    </row>
    <row r="155" spans="15:21" x14ac:dyDescent="0.35">
      <c r="O155" s="115"/>
      <c r="P155" s="115"/>
      <c r="Q155" s="115"/>
      <c r="R155" s="115"/>
      <c r="S155" s="115"/>
      <c r="T155" s="115"/>
      <c r="U155" s="115"/>
    </row>
    <row r="156" spans="15:21" x14ac:dyDescent="0.35">
      <c r="O156" s="115"/>
      <c r="P156" s="115"/>
      <c r="Q156" s="115"/>
      <c r="R156" s="115"/>
      <c r="S156" s="115"/>
      <c r="T156" s="115"/>
      <c r="U156" s="115"/>
    </row>
    <row r="157" spans="15:21" x14ac:dyDescent="0.35">
      <c r="O157" s="115"/>
      <c r="P157" s="115"/>
      <c r="Q157" s="115"/>
      <c r="R157" s="115"/>
      <c r="S157" s="115"/>
      <c r="T157" s="115"/>
      <c r="U157" s="115"/>
    </row>
    <row r="158" spans="15:21" x14ac:dyDescent="0.35">
      <c r="O158" s="115"/>
      <c r="P158" s="115"/>
      <c r="Q158" s="115"/>
      <c r="R158" s="115"/>
      <c r="S158" s="115"/>
      <c r="T158" s="115"/>
      <c r="U158" s="115"/>
    </row>
    <row r="159" spans="15:21" x14ac:dyDescent="0.35">
      <c r="O159" s="115"/>
      <c r="P159" s="115"/>
      <c r="Q159" s="115"/>
      <c r="R159" s="115"/>
      <c r="S159" s="115"/>
      <c r="T159" s="115"/>
      <c r="U159" s="115"/>
    </row>
    <row r="160" spans="15:21" x14ac:dyDescent="0.35">
      <c r="O160" s="115"/>
      <c r="P160" s="115"/>
      <c r="Q160" s="115"/>
      <c r="R160" s="115"/>
      <c r="S160" s="115"/>
      <c r="T160" s="115"/>
      <c r="U160" s="115"/>
    </row>
    <row r="161" spans="15:21" x14ac:dyDescent="0.35">
      <c r="O161" s="115"/>
      <c r="P161" s="115"/>
      <c r="Q161" s="115"/>
      <c r="R161" s="115"/>
      <c r="S161" s="115"/>
      <c r="T161" s="115"/>
      <c r="U161" s="115"/>
    </row>
    <row r="162" spans="15:21" x14ac:dyDescent="0.35">
      <c r="O162" s="115"/>
      <c r="P162" s="115"/>
      <c r="Q162" s="115"/>
      <c r="R162" s="115"/>
      <c r="S162" s="115"/>
      <c r="T162" s="115"/>
      <c r="U162" s="115"/>
    </row>
    <row r="163" spans="15:21" x14ac:dyDescent="0.35">
      <c r="O163" s="115"/>
      <c r="P163" s="115"/>
      <c r="Q163" s="115"/>
      <c r="R163" s="115"/>
      <c r="S163" s="115"/>
      <c r="T163" s="115"/>
      <c r="U163" s="115"/>
    </row>
    <row r="164" spans="15:21" x14ac:dyDescent="0.35">
      <c r="O164" s="115"/>
      <c r="P164" s="115"/>
      <c r="Q164" s="115"/>
      <c r="R164" s="115"/>
      <c r="S164" s="115"/>
      <c r="T164" s="115"/>
      <c r="U164" s="115"/>
    </row>
    <row r="165" spans="15:21" x14ac:dyDescent="0.35">
      <c r="O165" s="115"/>
      <c r="P165" s="115"/>
      <c r="Q165" s="115"/>
      <c r="R165" s="115"/>
      <c r="S165" s="115"/>
      <c r="T165" s="115"/>
      <c r="U165" s="115"/>
    </row>
    <row r="166" spans="15:21" x14ac:dyDescent="0.35">
      <c r="O166" s="115"/>
      <c r="P166" s="115"/>
      <c r="Q166" s="115"/>
      <c r="R166" s="115"/>
      <c r="S166" s="115"/>
      <c r="T166" s="115"/>
      <c r="U166" s="115"/>
    </row>
    <row r="167" spans="15:21" x14ac:dyDescent="0.35">
      <c r="O167" s="115"/>
      <c r="P167" s="115"/>
      <c r="Q167" s="115"/>
      <c r="R167" s="115"/>
      <c r="S167" s="115"/>
      <c r="T167" s="115"/>
      <c r="U167" s="115"/>
    </row>
    <row r="168" spans="15:21" x14ac:dyDescent="0.35">
      <c r="O168" s="115"/>
      <c r="P168" s="115"/>
      <c r="Q168" s="115"/>
      <c r="R168" s="115"/>
      <c r="S168" s="115"/>
      <c r="T168" s="115"/>
      <c r="U168" s="115"/>
    </row>
    <row r="169" spans="15:21" x14ac:dyDescent="0.35">
      <c r="O169" s="115"/>
      <c r="P169" s="115"/>
      <c r="Q169" s="115"/>
      <c r="R169" s="115"/>
      <c r="S169" s="115"/>
      <c r="T169" s="115"/>
      <c r="U169" s="115"/>
    </row>
    <row r="170" spans="15:21" x14ac:dyDescent="0.35">
      <c r="O170" s="115"/>
      <c r="P170" s="115"/>
      <c r="Q170" s="115"/>
      <c r="R170" s="115"/>
      <c r="S170" s="115"/>
      <c r="T170" s="115"/>
      <c r="U170" s="115"/>
    </row>
    <row r="171" spans="15:21" x14ac:dyDescent="0.35">
      <c r="O171" s="115"/>
      <c r="P171" s="115"/>
      <c r="Q171" s="115"/>
      <c r="R171" s="115"/>
      <c r="S171" s="115"/>
      <c r="T171" s="115"/>
      <c r="U171" s="115"/>
    </row>
    <row r="172" spans="15:21" x14ac:dyDescent="0.35">
      <c r="O172" s="115"/>
      <c r="P172" s="115"/>
      <c r="Q172" s="115"/>
      <c r="R172" s="115"/>
      <c r="S172" s="115"/>
      <c r="T172" s="115"/>
      <c r="U172" s="115"/>
    </row>
    <row r="173" spans="15:21" x14ac:dyDescent="0.35">
      <c r="O173" s="115"/>
      <c r="P173" s="115"/>
      <c r="Q173" s="115"/>
      <c r="R173" s="115"/>
      <c r="S173" s="115"/>
      <c r="T173" s="115"/>
      <c r="U173" s="115"/>
    </row>
    <row r="174" spans="15:21" x14ac:dyDescent="0.35">
      <c r="O174" s="115"/>
      <c r="P174" s="115"/>
      <c r="Q174" s="115"/>
      <c r="R174" s="115"/>
      <c r="S174" s="115"/>
      <c r="T174" s="115"/>
      <c r="U174" s="115"/>
    </row>
    <row r="175" spans="15:21" x14ac:dyDescent="0.35">
      <c r="O175" s="115"/>
      <c r="P175" s="115"/>
      <c r="Q175" s="115"/>
      <c r="R175" s="115"/>
      <c r="S175" s="115"/>
      <c r="T175" s="115"/>
      <c r="U175" s="115"/>
    </row>
    <row r="176" spans="15:21" x14ac:dyDescent="0.35">
      <c r="O176" s="115"/>
      <c r="P176" s="115"/>
      <c r="Q176" s="115"/>
      <c r="R176" s="115"/>
      <c r="S176" s="115"/>
      <c r="T176" s="115"/>
      <c r="U176" s="115"/>
    </row>
    <row r="177" spans="15:21" x14ac:dyDescent="0.35">
      <c r="O177" s="115"/>
      <c r="P177" s="115"/>
      <c r="Q177" s="115"/>
      <c r="R177" s="115"/>
      <c r="S177" s="115"/>
      <c r="T177" s="115"/>
      <c r="U177" s="115"/>
    </row>
  </sheetData>
  <mergeCells count="9">
    <mergeCell ref="AB48:AB51"/>
    <mergeCell ref="C8:D8"/>
    <mergeCell ref="C9:D9"/>
    <mergeCell ref="D48:E48"/>
    <mergeCell ref="U114:V114"/>
    <mergeCell ref="P70:Q70"/>
    <mergeCell ref="R70:S70"/>
    <mergeCell ref="U48:W48"/>
    <mergeCell ref="C10:D10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B144-361A-46DB-BAA5-B4F95D174C04}">
  <dimension ref="A1:D55"/>
  <sheetViews>
    <sheetView workbookViewId="0">
      <selection activeCell="O25" sqref="O25"/>
    </sheetView>
  </sheetViews>
  <sheetFormatPr defaultRowHeight="14.5" x14ac:dyDescent="0.35"/>
  <cols>
    <col min="1" max="1" width="29.453125" customWidth="1"/>
    <col min="2" max="2" width="12.26953125" customWidth="1"/>
    <col min="3" max="3" width="20.7265625" customWidth="1"/>
  </cols>
  <sheetData>
    <row r="1" spans="1:4" x14ac:dyDescent="0.35">
      <c r="A1" s="1" t="s">
        <v>208</v>
      </c>
      <c r="B1" s="1" t="s">
        <v>10</v>
      </c>
      <c r="C1" s="1" t="s">
        <v>9</v>
      </c>
      <c r="D1" s="1" t="s">
        <v>11</v>
      </c>
    </row>
    <row r="2" spans="1:4" x14ac:dyDescent="0.35">
      <c r="A2" t="s">
        <v>209</v>
      </c>
    </row>
    <row r="3" spans="1:4" x14ac:dyDescent="0.35">
      <c r="A3" s="1" t="s">
        <v>210</v>
      </c>
    </row>
    <row r="4" spans="1:4" x14ac:dyDescent="0.35">
      <c r="A4" t="str" cm="1">
        <f t="array" ref="A4:B8">Electrolyzer!A70:B74</f>
        <v>CH3COOK</v>
      </c>
      <c r="B4" t="str">
        <v>kg/s</v>
      </c>
      <c r="C4">
        <f>Electrolyzer!E70</f>
        <v>2.8262491147744626</v>
      </c>
    </row>
    <row r="5" spans="1:4" x14ac:dyDescent="0.35">
      <c r="A5" t="str">
        <v>C2H5COOK</v>
      </c>
      <c r="B5" t="str">
        <v>kg/s</v>
      </c>
      <c r="C5">
        <f>Electrolyzer!E71</f>
        <v>0.14749664213913419</v>
      </c>
    </row>
    <row r="6" spans="1:4" x14ac:dyDescent="0.35">
      <c r="A6" t="str">
        <v>Free KOH anolyte outlet</v>
      </c>
      <c r="B6" t="str">
        <v>kg/s</v>
      </c>
      <c r="C6">
        <f>Electrolyzer!E72</f>
        <v>0.27896822360714568</v>
      </c>
    </row>
    <row r="7" spans="1:4" x14ac:dyDescent="0.35">
      <c r="A7" t="str">
        <v>Free water anolyte outlet</v>
      </c>
      <c r="B7" t="str">
        <v>kg/s</v>
      </c>
      <c r="C7">
        <f>Electrolyzer!E73</f>
        <v>9.7995607261292843</v>
      </c>
    </row>
    <row r="8" spans="1:4" x14ac:dyDescent="0.35">
      <c r="A8" t="str">
        <v>Total liquid anolyte outlet</v>
      </c>
      <c r="B8" t="str">
        <v>kg/s</v>
      </c>
      <c r="C8">
        <f>Electrolyzer!E74</f>
        <v>13.052274706650026</v>
      </c>
    </row>
    <row r="9" spans="1:4" x14ac:dyDescent="0.35">
      <c r="A9" t="str" cm="1">
        <f t="array" ref="A9:A13">A4:A8</f>
        <v>CH3COOK</v>
      </c>
      <c r="B9" t="s">
        <v>179</v>
      </c>
      <c r="C9" s="2">
        <f>C4/'Base operation parameters'!D69</f>
        <v>28.797461591734272</v>
      </c>
    </row>
    <row r="10" spans="1:4" x14ac:dyDescent="0.35">
      <c r="A10" t="str">
        <v>C2H5COOK</v>
      </c>
      <c r="B10" t="s">
        <v>179</v>
      </c>
      <c r="C10" s="2">
        <f>C5/'Base operation parameters'!D70</f>
        <v>1.3149513112737505</v>
      </c>
    </row>
    <row r="11" spans="1:4" x14ac:dyDescent="0.35">
      <c r="A11" t="str">
        <v>Free KOH anolyte outlet</v>
      </c>
      <c r="B11" t="s">
        <v>179</v>
      </c>
      <c r="C11" s="2">
        <f>C6/'Base operation parameters'!D64</f>
        <v>4.9721992743531072</v>
      </c>
    </row>
    <row r="12" spans="1:4" x14ac:dyDescent="0.35">
      <c r="A12" t="str">
        <v>Free water anolyte outlet</v>
      </c>
      <c r="B12" t="s">
        <v>179</v>
      </c>
      <c r="C12" s="2">
        <f>C7/'Base operation parameters'!D61</f>
        <v>543.9576763156474</v>
      </c>
    </row>
    <row r="13" spans="1:4" x14ac:dyDescent="0.35">
      <c r="A13" t="str">
        <v>Total liquid anolyte outlet</v>
      </c>
      <c r="B13" t="s">
        <v>179</v>
      </c>
      <c r="C13" s="2">
        <f>SUM(C9:C12)</f>
        <v>579.04228849300853</v>
      </c>
    </row>
    <row r="15" spans="1:4" x14ac:dyDescent="0.35">
      <c r="A15" s="1" t="s">
        <v>7</v>
      </c>
    </row>
    <row r="16" spans="1:4" ht="43.5" x14ac:dyDescent="0.35">
      <c r="A16" t="s">
        <v>238</v>
      </c>
      <c r="C16" s="23" t="s">
        <v>239</v>
      </c>
      <c r="D16" t="s">
        <v>261</v>
      </c>
    </row>
    <row r="17" spans="1:4" ht="16.5" x14ac:dyDescent="0.35">
      <c r="A17" t="s">
        <v>211</v>
      </c>
      <c r="B17" t="s">
        <v>212</v>
      </c>
      <c r="C17">
        <v>75</v>
      </c>
      <c r="D17" t="s">
        <v>213</v>
      </c>
    </row>
    <row r="18" spans="1:4" ht="16.5" x14ac:dyDescent="0.35">
      <c r="A18" t="s">
        <v>214</v>
      </c>
      <c r="B18" t="s">
        <v>212</v>
      </c>
      <c r="C18">
        <v>750</v>
      </c>
      <c r="D18" t="s">
        <v>213</v>
      </c>
    </row>
    <row r="19" spans="1:4" x14ac:dyDescent="0.35">
      <c r="A19" t="s">
        <v>216</v>
      </c>
      <c r="B19" t="s">
        <v>215</v>
      </c>
      <c r="C19">
        <v>3</v>
      </c>
      <c r="D19" t="s">
        <v>213</v>
      </c>
    </row>
    <row r="20" spans="1:4" ht="16.5" x14ac:dyDescent="0.35">
      <c r="A20" t="s">
        <v>40</v>
      </c>
      <c r="B20" t="s">
        <v>41</v>
      </c>
      <c r="C20">
        <v>100</v>
      </c>
      <c r="D20" t="s">
        <v>218</v>
      </c>
    </row>
    <row r="21" spans="1:4" x14ac:dyDescent="0.35">
      <c r="A21" t="s">
        <v>235</v>
      </c>
      <c r="B21" t="s">
        <v>31</v>
      </c>
      <c r="C21" s="3">
        <v>0.85</v>
      </c>
      <c r="D21" t="s">
        <v>217</v>
      </c>
    </row>
    <row r="22" spans="1:4" x14ac:dyDescent="0.35">
      <c r="A22" t="s">
        <v>236</v>
      </c>
      <c r="B22" t="s">
        <v>29</v>
      </c>
      <c r="C22" s="27">
        <v>3.6</v>
      </c>
      <c r="D22" t="s">
        <v>237</v>
      </c>
    </row>
    <row r="23" spans="1:4" x14ac:dyDescent="0.35">
      <c r="A23" t="s">
        <v>243</v>
      </c>
      <c r="B23" t="s">
        <v>244</v>
      </c>
      <c r="C23" s="27">
        <v>1.5</v>
      </c>
      <c r="D23" t="s">
        <v>237</v>
      </c>
    </row>
    <row r="24" spans="1:4" x14ac:dyDescent="0.35">
      <c r="A24" t="s">
        <v>245</v>
      </c>
      <c r="B24" t="s">
        <v>246</v>
      </c>
      <c r="C24" s="27">
        <v>1.5</v>
      </c>
      <c r="D24" t="s">
        <v>237</v>
      </c>
    </row>
    <row r="25" spans="1:4" x14ac:dyDescent="0.35">
      <c r="A25" t="s">
        <v>250</v>
      </c>
      <c r="B25" t="s">
        <v>251</v>
      </c>
      <c r="C25" s="27">
        <v>0.05</v>
      </c>
      <c r="D25" t="s">
        <v>237</v>
      </c>
    </row>
    <row r="26" spans="1:4" ht="16.5" x14ac:dyDescent="0.35">
      <c r="A26" t="s">
        <v>266</v>
      </c>
      <c r="B26" t="s">
        <v>158</v>
      </c>
      <c r="C26" s="27">
        <f>0.5*0.5</f>
        <v>0.25</v>
      </c>
      <c r="D26" t="s">
        <v>262</v>
      </c>
    </row>
    <row r="27" spans="1:4" x14ac:dyDescent="0.35">
      <c r="A27" t="s">
        <v>263</v>
      </c>
      <c r="C27" s="27">
        <v>150</v>
      </c>
      <c r="D27" t="s">
        <v>262</v>
      </c>
    </row>
    <row r="28" spans="1:4" x14ac:dyDescent="0.35">
      <c r="A28" t="s">
        <v>220</v>
      </c>
    </row>
    <row r="29" spans="1:4" x14ac:dyDescent="0.35">
      <c r="A29" t="s">
        <v>219</v>
      </c>
    </row>
    <row r="30" spans="1:4" x14ac:dyDescent="0.35">
      <c r="A30" s="186" t="s">
        <v>259</v>
      </c>
      <c r="B30" s="186"/>
      <c r="C30" s="186"/>
      <c r="D30" t="s">
        <v>258</v>
      </c>
    </row>
    <row r="31" spans="1:4" x14ac:dyDescent="0.35">
      <c r="A31" t="s">
        <v>221</v>
      </c>
      <c r="D31" t="s">
        <v>237</v>
      </c>
    </row>
    <row r="32" spans="1:4" x14ac:dyDescent="0.35">
      <c r="A32" t="s">
        <v>256</v>
      </c>
      <c r="D32" t="s">
        <v>237</v>
      </c>
    </row>
    <row r="33" spans="1:4" x14ac:dyDescent="0.35">
      <c r="A33" s="1" t="s">
        <v>222</v>
      </c>
    </row>
    <row r="34" spans="1:4" x14ac:dyDescent="0.35">
      <c r="A34" t="s">
        <v>225</v>
      </c>
      <c r="B34" t="s">
        <v>136</v>
      </c>
      <c r="C34" s="3">
        <f>C4/(C4+C7)</f>
        <v>0.22384695717642469</v>
      </c>
    </row>
    <row r="35" spans="1:4" x14ac:dyDescent="0.35">
      <c r="A35" t="s">
        <v>226</v>
      </c>
      <c r="B35" t="s">
        <v>227</v>
      </c>
      <c r="C35" s="28">
        <f>C9/(C9+C12)</f>
        <v>5.027883590350439E-2</v>
      </c>
      <c r="D35" s="29"/>
    </row>
    <row r="36" spans="1:4" x14ac:dyDescent="0.35">
      <c r="A36" t="s">
        <v>231</v>
      </c>
      <c r="B36" t="s">
        <v>230</v>
      </c>
      <c r="C36" s="27">
        <v>1.109</v>
      </c>
      <c r="D36" s="30" t="s">
        <v>260</v>
      </c>
    </row>
    <row r="37" spans="1:4" x14ac:dyDescent="0.35">
      <c r="A37" t="s">
        <v>257</v>
      </c>
      <c r="B37" t="s">
        <v>201</v>
      </c>
      <c r="C37" s="27">
        <f>(C4+C7)*3600</f>
        <v>45452.915427253487</v>
      </c>
      <c r="D37" s="29"/>
    </row>
    <row r="38" spans="1:4" x14ac:dyDescent="0.35">
      <c r="A38" t="s">
        <v>223</v>
      </c>
      <c r="B38" t="s">
        <v>224</v>
      </c>
      <c r="C38">
        <f>(C4+C7)/C36</f>
        <v>11.384860090986246</v>
      </c>
    </row>
    <row r="39" spans="1:4" x14ac:dyDescent="0.35">
      <c r="A39" t="s">
        <v>233</v>
      </c>
      <c r="B39" t="s">
        <v>232</v>
      </c>
      <c r="C39" s="2">
        <f>C9/C38</f>
        <v>2.5294523921760037</v>
      </c>
    </row>
    <row r="40" spans="1:4" x14ac:dyDescent="0.35">
      <c r="A40" t="s">
        <v>234</v>
      </c>
      <c r="B40" t="s">
        <v>232</v>
      </c>
      <c r="C40">
        <v>0</v>
      </c>
    </row>
    <row r="41" spans="1:4" ht="16.5" x14ac:dyDescent="0.35">
      <c r="A41" t="s">
        <v>264</v>
      </c>
      <c r="B41" t="s">
        <v>158</v>
      </c>
      <c r="C41" s="2">
        <f>('Base operation parameters'!C1*'KCH3COOH Electrodialysis'!C38*(C39-C40))/(C20*10*C21)</f>
        <v>3268.8618645185961</v>
      </c>
    </row>
    <row r="42" spans="1:4" x14ac:dyDescent="0.35">
      <c r="A42" t="s">
        <v>265</v>
      </c>
      <c r="C42" s="2">
        <f>C41/(C27/3*C26)</f>
        <v>261.50894916148769</v>
      </c>
    </row>
    <row r="43" spans="1:4" x14ac:dyDescent="0.35">
      <c r="A43" t="s">
        <v>155</v>
      </c>
      <c r="B43" t="s">
        <v>156</v>
      </c>
      <c r="C43" s="2">
        <f>C41*C20*10</f>
        <v>3268861.8645185959</v>
      </c>
    </row>
    <row r="44" spans="1:4" ht="16.5" x14ac:dyDescent="0.45">
      <c r="A44" t="s">
        <v>159</v>
      </c>
      <c r="B44" t="s">
        <v>240</v>
      </c>
      <c r="C44" s="2">
        <f>C43*C22/1000000</f>
        <v>11.767902712266947</v>
      </c>
    </row>
    <row r="45" spans="1:4" ht="16.5" x14ac:dyDescent="0.45">
      <c r="A45" t="s">
        <v>241</v>
      </c>
      <c r="B45" t="s">
        <v>242</v>
      </c>
      <c r="C45" s="2">
        <f>C44*1000/(C9*'Base operation parameters'!D52)/3600</f>
        <v>1.890231015472865</v>
      </c>
    </row>
    <row r="46" spans="1:4" x14ac:dyDescent="0.35">
      <c r="A46" s="1" t="s">
        <v>50</v>
      </c>
      <c r="C46" s="2"/>
    </row>
    <row r="47" spans="1:4" x14ac:dyDescent="0.35">
      <c r="A47" t="s">
        <v>252</v>
      </c>
      <c r="B47" t="s">
        <v>253</v>
      </c>
      <c r="C47" s="2">
        <f>C44*1000*'Base operation parameters'!C8*'Base operation parameters'!C32</f>
        <v>4707161.0849067783</v>
      </c>
    </row>
    <row r="48" spans="1:4" x14ac:dyDescent="0.35">
      <c r="A48" t="s">
        <v>254</v>
      </c>
      <c r="B48" t="s">
        <v>253</v>
      </c>
      <c r="C48" s="2">
        <f>C47*C25</f>
        <v>235358.05424533892</v>
      </c>
    </row>
    <row r="49" spans="1:3" x14ac:dyDescent="0.35">
      <c r="A49" t="s">
        <v>255</v>
      </c>
      <c r="B49" t="s">
        <v>253</v>
      </c>
      <c r="C49" s="2">
        <f>C47+C48</f>
        <v>4942519.1391521171</v>
      </c>
    </row>
    <row r="50" spans="1:3" x14ac:dyDescent="0.35">
      <c r="A50" t="s">
        <v>269</v>
      </c>
      <c r="B50" t="s">
        <v>253</v>
      </c>
      <c r="C50" s="2">
        <f>C49+C52/C19</f>
        <v>5923177.6985076964</v>
      </c>
    </row>
    <row r="51" spans="1:3" x14ac:dyDescent="0.35">
      <c r="A51" s="1" t="s">
        <v>57</v>
      </c>
    </row>
    <row r="52" spans="1:3" x14ac:dyDescent="0.35">
      <c r="A52" t="s">
        <v>247</v>
      </c>
      <c r="B52" t="s">
        <v>163</v>
      </c>
      <c r="C52" s="2">
        <f>C41*(2*C17+C18)</f>
        <v>2941975.6780667366</v>
      </c>
    </row>
    <row r="53" spans="1:3" x14ac:dyDescent="0.35">
      <c r="A53" t="s">
        <v>248</v>
      </c>
      <c r="B53" t="s">
        <v>163</v>
      </c>
      <c r="C53" s="2">
        <f>C52*C23</f>
        <v>4412963.5171001051</v>
      </c>
    </row>
    <row r="54" spans="1:3" x14ac:dyDescent="0.35">
      <c r="A54" t="s">
        <v>249</v>
      </c>
      <c r="B54" t="s">
        <v>163</v>
      </c>
      <c r="C54" s="2">
        <f>C53*C24</f>
        <v>6619445.2756501576</v>
      </c>
    </row>
    <row r="55" spans="1:3" x14ac:dyDescent="0.35">
      <c r="A55" t="s">
        <v>198</v>
      </c>
      <c r="B55" t="s">
        <v>163</v>
      </c>
      <c r="C55" s="2">
        <f>C53+C54</f>
        <v>11032408.792750262</v>
      </c>
    </row>
  </sheetData>
  <mergeCells count="1">
    <mergeCell ref="A30:C30"/>
  </mergeCell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891C-F053-48C3-91E4-6188D02A6BDD}">
  <dimension ref="A1:H28"/>
  <sheetViews>
    <sheetView zoomScale="115" zoomScaleNormal="115" workbookViewId="0">
      <selection activeCell="Q49" sqref="Q49"/>
    </sheetView>
  </sheetViews>
  <sheetFormatPr defaultRowHeight="14.5" x14ac:dyDescent="0.35"/>
  <sheetData>
    <row r="1" spans="1:8" x14ac:dyDescent="0.35">
      <c r="A1" s="169" t="s">
        <v>918</v>
      </c>
      <c r="B1" s="169"/>
      <c r="C1" s="169"/>
      <c r="F1" s="169" t="s">
        <v>919</v>
      </c>
      <c r="G1" s="169"/>
      <c r="H1" s="169"/>
    </row>
    <row r="2" spans="1:8" x14ac:dyDescent="0.35">
      <c r="A2" t="s">
        <v>127</v>
      </c>
      <c r="B2" t="s">
        <v>915</v>
      </c>
      <c r="C2" t="s">
        <v>916</v>
      </c>
      <c r="F2" t="s">
        <v>127</v>
      </c>
      <c r="G2" t="s">
        <v>915</v>
      </c>
      <c r="H2" t="s">
        <v>916</v>
      </c>
    </row>
    <row r="3" spans="1:8" x14ac:dyDescent="0.35">
      <c r="A3" t="s">
        <v>6</v>
      </c>
      <c r="B3" t="s">
        <v>917</v>
      </c>
      <c r="C3" t="s">
        <v>917</v>
      </c>
      <c r="F3" t="s">
        <v>6</v>
      </c>
      <c r="G3" t="s">
        <v>917</v>
      </c>
      <c r="H3" t="s">
        <v>917</v>
      </c>
    </row>
    <row r="4" spans="1:8" x14ac:dyDescent="0.35">
      <c r="A4">
        <v>72.619100000000003</v>
      </c>
      <c r="B4" s="2">
        <v>20645200</v>
      </c>
      <c r="C4" s="2">
        <v>20645200</v>
      </c>
      <c r="F4">
        <v>72.613200000000006</v>
      </c>
      <c r="G4" s="2">
        <v>20646100</v>
      </c>
      <c r="H4" s="2">
        <v>20646100</v>
      </c>
    </row>
    <row r="5" spans="1:8" x14ac:dyDescent="0.35">
      <c r="A5">
        <v>74.565600000000003</v>
      </c>
      <c r="B5" s="2">
        <v>4127980</v>
      </c>
      <c r="C5">
        <v>0</v>
      </c>
      <c r="F5">
        <v>74.528099999999995</v>
      </c>
      <c r="G5" s="2">
        <v>4128730</v>
      </c>
      <c r="H5">
        <v>0</v>
      </c>
    </row>
    <row r="6" spans="1:8" x14ac:dyDescent="0.35">
      <c r="A6">
        <v>74.940399999999997</v>
      </c>
      <c r="B6">
        <v>490664</v>
      </c>
      <c r="C6">
        <v>0</v>
      </c>
      <c r="F6">
        <v>74.854600000000005</v>
      </c>
      <c r="G6">
        <v>499335</v>
      </c>
      <c r="H6">
        <v>0</v>
      </c>
    </row>
    <row r="7" spans="1:8" x14ac:dyDescent="0.35">
      <c r="A7">
        <v>75.122799999999998</v>
      </c>
      <c r="B7">
        <v>34787.599999999999</v>
      </c>
      <c r="C7">
        <v>0</v>
      </c>
      <c r="F7">
        <v>74.965599999999995</v>
      </c>
      <c r="G7">
        <v>51582.400000000001</v>
      </c>
      <c r="H7">
        <v>0</v>
      </c>
    </row>
    <row r="8" spans="1:8" x14ac:dyDescent="0.35">
      <c r="A8">
        <v>75.320300000000003</v>
      </c>
      <c r="B8">
        <v>-25360.400000000001</v>
      </c>
      <c r="C8">
        <v>0</v>
      </c>
      <c r="F8">
        <v>75.063599999999994</v>
      </c>
      <c r="G8">
        <v>-76.0959</v>
      </c>
      <c r="H8">
        <v>0</v>
      </c>
    </row>
    <row r="9" spans="1:8" x14ac:dyDescent="0.35">
      <c r="A9">
        <v>75.561999999999998</v>
      </c>
      <c r="B9">
        <v>-44045.8</v>
      </c>
      <c r="C9">
        <v>0</v>
      </c>
      <c r="F9">
        <v>75.176500000000004</v>
      </c>
      <c r="G9">
        <v>-9700.2999999999993</v>
      </c>
      <c r="H9">
        <v>0</v>
      </c>
    </row>
    <row r="10" spans="1:8" x14ac:dyDescent="0.35">
      <c r="A10">
        <v>75.851500000000001</v>
      </c>
      <c r="B10">
        <v>-59171.6</v>
      </c>
      <c r="C10">
        <v>0</v>
      </c>
      <c r="F10">
        <v>75.313800000000001</v>
      </c>
      <c r="G10">
        <v>-16577.099999999999</v>
      </c>
      <c r="H10">
        <v>0</v>
      </c>
    </row>
    <row r="11" spans="1:8" x14ac:dyDescent="0.35">
      <c r="A11">
        <v>76.182900000000004</v>
      </c>
      <c r="B11">
        <v>-73022.100000000006</v>
      </c>
      <c r="C11">
        <v>0</v>
      </c>
      <c r="F11">
        <v>75.483699999999999</v>
      </c>
      <c r="G11">
        <v>-25253.200000000001</v>
      </c>
      <c r="H11">
        <v>0</v>
      </c>
    </row>
    <row r="12" spans="1:8" x14ac:dyDescent="0.35">
      <c r="A12">
        <v>76.543499999999995</v>
      </c>
      <c r="B12">
        <v>-83893.2</v>
      </c>
      <c r="C12">
        <v>0</v>
      </c>
      <c r="F12">
        <v>75.692999999999998</v>
      </c>
      <c r="G12">
        <v>-36146.300000000003</v>
      </c>
      <c r="H12">
        <v>0</v>
      </c>
    </row>
    <row r="13" spans="1:8" x14ac:dyDescent="0.35">
      <c r="A13">
        <v>76.917000000000002</v>
      </c>
      <c r="B13">
        <v>-90204.5</v>
      </c>
      <c r="C13">
        <v>0</v>
      </c>
      <c r="F13">
        <v>75.945400000000006</v>
      </c>
      <c r="G13">
        <v>-48624.9</v>
      </c>
      <c r="H13">
        <v>0</v>
      </c>
    </row>
    <row r="14" spans="1:8" x14ac:dyDescent="0.35">
      <c r="A14">
        <v>77.287000000000006</v>
      </c>
      <c r="B14" s="2">
        <v>1081340</v>
      </c>
      <c r="C14">
        <v>0</v>
      </c>
      <c r="F14">
        <v>76.238600000000005</v>
      </c>
      <c r="G14">
        <v>-61295.8</v>
      </c>
      <c r="H14">
        <v>0</v>
      </c>
    </row>
    <row r="15" spans="1:8" x14ac:dyDescent="0.35">
      <c r="A15">
        <v>77.639799999999994</v>
      </c>
      <c r="B15">
        <v>889903</v>
      </c>
      <c r="C15">
        <v>0</v>
      </c>
      <c r="F15">
        <v>76.564300000000003</v>
      </c>
      <c r="G15">
        <v>-72384.2</v>
      </c>
      <c r="H15">
        <v>0</v>
      </c>
    </row>
    <row r="16" spans="1:8" x14ac:dyDescent="0.35">
      <c r="A16">
        <v>77.965299999999999</v>
      </c>
      <c r="B16" s="2">
        <v>6593500</v>
      </c>
      <c r="C16">
        <v>0</v>
      </c>
      <c r="F16">
        <v>76.909700000000001</v>
      </c>
      <c r="G16" s="2">
        <v>19601700</v>
      </c>
      <c r="H16">
        <v>0</v>
      </c>
    </row>
    <row r="17" spans="1:8" x14ac:dyDescent="0.35">
      <c r="A17">
        <v>82.057299999999998</v>
      </c>
      <c r="B17" s="2">
        <v>15611700</v>
      </c>
      <c r="C17" s="2">
        <v>16000000</v>
      </c>
      <c r="F17">
        <v>77.993899999999996</v>
      </c>
      <c r="G17" s="2">
        <v>-2855530</v>
      </c>
      <c r="H17">
        <v>0</v>
      </c>
    </row>
    <row r="18" spans="1:8" x14ac:dyDescent="0.35">
      <c r="A18">
        <v>82.609700000000004</v>
      </c>
      <c r="B18" s="2">
        <v>15868200</v>
      </c>
      <c r="C18" s="2">
        <v>16000000</v>
      </c>
      <c r="F18">
        <v>78.717299999999994</v>
      </c>
      <c r="G18">
        <v>148457</v>
      </c>
      <c r="H18">
        <v>0</v>
      </c>
    </row>
    <row r="19" spans="1:8" x14ac:dyDescent="0.35">
      <c r="A19">
        <v>83.391800000000003</v>
      </c>
      <c r="B19" s="2">
        <v>16368300</v>
      </c>
      <c r="C19" s="2">
        <v>16000000</v>
      </c>
      <c r="F19">
        <v>79.470600000000005</v>
      </c>
      <c r="G19" s="2">
        <v>5277990</v>
      </c>
      <c r="H19">
        <v>0</v>
      </c>
    </row>
    <row r="20" spans="1:8" x14ac:dyDescent="0.35">
      <c r="A20">
        <v>85.096299999999999</v>
      </c>
      <c r="B20" s="2">
        <v>17341900</v>
      </c>
      <c r="C20" s="2">
        <v>16000000</v>
      </c>
      <c r="F20">
        <v>81.174999999999997</v>
      </c>
      <c r="G20" s="2">
        <v>12616400</v>
      </c>
      <c r="H20">
        <v>0</v>
      </c>
    </row>
    <row r="21" spans="1:8" x14ac:dyDescent="0.35">
      <c r="A21">
        <v>89.195499999999996</v>
      </c>
      <c r="B21" s="2">
        <v>18561000</v>
      </c>
      <c r="C21" s="2">
        <v>16000000</v>
      </c>
      <c r="F21">
        <v>85.796599999999998</v>
      </c>
      <c r="G21" s="2">
        <v>17514400</v>
      </c>
      <c r="H21">
        <v>0</v>
      </c>
    </row>
    <row r="22" spans="1:8" x14ac:dyDescent="0.35">
      <c r="A22">
        <v>96.735500000000002</v>
      </c>
      <c r="B22" s="2">
        <v>19384700</v>
      </c>
      <c r="C22" s="2">
        <v>16000000</v>
      </c>
      <c r="F22">
        <v>95.317499999999995</v>
      </c>
      <c r="G22" s="2">
        <v>19216600</v>
      </c>
      <c r="H22">
        <v>0</v>
      </c>
    </row>
    <row r="23" spans="1:8" x14ac:dyDescent="0.35">
      <c r="A23">
        <v>105.358</v>
      </c>
      <c r="B23" s="2">
        <v>19770200</v>
      </c>
      <c r="C23" s="2">
        <v>16000000</v>
      </c>
      <c r="F23">
        <v>106.032</v>
      </c>
      <c r="G23" s="2">
        <v>19723900</v>
      </c>
      <c r="H23">
        <v>0</v>
      </c>
    </row>
    <row r="24" spans="1:8" x14ac:dyDescent="0.35">
      <c r="A24">
        <v>111.76300000000001</v>
      </c>
      <c r="B24" s="2">
        <v>19943200</v>
      </c>
      <c r="C24" s="2">
        <v>16000000</v>
      </c>
      <c r="F24">
        <v>112.97199999999999</v>
      </c>
      <c r="G24" s="2">
        <v>19901900</v>
      </c>
      <c r="H24">
        <v>0</v>
      </c>
    </row>
    <row r="25" spans="1:8" x14ac:dyDescent="0.35">
      <c r="A25">
        <v>115.452</v>
      </c>
      <c r="B25" s="2">
        <v>20036600</v>
      </c>
      <c r="C25" s="2">
        <v>16000000</v>
      </c>
      <c r="F25">
        <v>116.38800000000001</v>
      </c>
      <c r="G25" s="2">
        <v>19984800</v>
      </c>
      <c r="H25">
        <v>0</v>
      </c>
    </row>
    <row r="26" spans="1:8" x14ac:dyDescent="0.35">
      <c r="A26">
        <v>117.35299999999999</v>
      </c>
      <c r="B26" s="2">
        <v>20118600</v>
      </c>
      <c r="C26" s="2">
        <v>16000000</v>
      </c>
      <c r="F26">
        <v>117.923</v>
      </c>
      <c r="G26" s="2">
        <v>20056800</v>
      </c>
      <c r="H26">
        <v>0</v>
      </c>
    </row>
    <row r="27" spans="1:8" x14ac:dyDescent="0.35">
      <c r="A27">
        <v>118.30200000000001</v>
      </c>
      <c r="B27" s="2">
        <v>20247400</v>
      </c>
      <c r="C27" s="2">
        <v>16000000</v>
      </c>
      <c r="F27">
        <v>118.60899999999999</v>
      </c>
      <c r="G27" s="2">
        <v>20181300</v>
      </c>
      <c r="H27">
        <v>0</v>
      </c>
    </row>
    <row r="28" spans="1:8" x14ac:dyDescent="0.35">
      <c r="A28">
        <v>118.78400000000001</v>
      </c>
      <c r="B28" s="2">
        <v>20539200</v>
      </c>
      <c r="C28" s="2">
        <v>20539200</v>
      </c>
      <c r="F28">
        <v>118.93300000000001</v>
      </c>
      <c r="G28" s="2">
        <v>20536200</v>
      </c>
      <c r="H28" s="2">
        <v>20536200</v>
      </c>
    </row>
  </sheetData>
  <mergeCells count="2">
    <mergeCell ref="A1:C1"/>
    <mergeCell ref="F1:H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15ad4f-13d7-42a0-ab81-b676935441d1">
      <Terms xmlns="http://schemas.microsoft.com/office/infopath/2007/PartnerControls"/>
    </lcf76f155ced4ddcb4097134ff3c332f>
    <TaxCatchAll xmlns="93d50727-c574-4277-b09c-020c3f125c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76A69C08E20D4694FAA45BF4910293" ma:contentTypeVersion="10" ma:contentTypeDescription="Create a new document." ma:contentTypeScope="" ma:versionID="4fa44c3478487ff885a364913e938a55">
  <xsd:schema xmlns:xsd="http://www.w3.org/2001/XMLSchema" xmlns:xs="http://www.w3.org/2001/XMLSchema" xmlns:p="http://schemas.microsoft.com/office/2006/metadata/properties" xmlns:ns2="5315ad4f-13d7-42a0-ab81-b676935441d1" xmlns:ns3="93d50727-c574-4277-b09c-020c3f125c52" targetNamespace="http://schemas.microsoft.com/office/2006/metadata/properties" ma:root="true" ma:fieldsID="4171971e3e144f026b9044f985672fda" ns2:_="" ns3:_="">
    <xsd:import namespace="5315ad4f-13d7-42a0-ab81-b676935441d1"/>
    <xsd:import namespace="93d50727-c574-4277-b09c-020c3f125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5ad4f-13d7-42a0-ab81-b676935441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2f2e1c-c095-4710-afda-8e7acdb033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50727-c574-4277-b09c-020c3f125c5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0767469-e484-406f-ba04-c5527e683a5d}" ma:internalName="TaxCatchAll" ma:showField="CatchAllData" ma:web="93d50727-c574-4277-b09c-020c3f125c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BF429D-BAD2-424D-B54D-8803F6330C6E}">
  <ds:schemaRefs>
    <ds:schemaRef ds:uri="http://schemas.microsoft.com/office/2006/metadata/properties"/>
    <ds:schemaRef ds:uri="http://schemas.microsoft.com/office/infopath/2007/PartnerControls"/>
    <ds:schemaRef ds:uri="5315ad4f-13d7-42a0-ab81-b676935441d1"/>
    <ds:schemaRef ds:uri="93d50727-c574-4277-b09c-020c3f125c52"/>
  </ds:schemaRefs>
</ds:datastoreItem>
</file>

<file path=customXml/itemProps2.xml><?xml version="1.0" encoding="utf-8"?>
<ds:datastoreItem xmlns:ds="http://schemas.openxmlformats.org/officeDocument/2006/customXml" ds:itemID="{8B4AADA7-5899-4751-BB66-88B09FADBB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15ad4f-13d7-42a0-ab81-b676935441d1"/>
    <ds:schemaRef ds:uri="93d50727-c574-4277-b09c-020c3f125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7E4C01-31EB-4F2D-A084-E64F3A7651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Base operation parameters</vt:lpstr>
      <vt:lpstr>Literature comparison</vt:lpstr>
      <vt:lpstr>Electrolyzer</vt:lpstr>
      <vt:lpstr>KCl Elec</vt:lpstr>
      <vt:lpstr>Energy Integration</vt:lpstr>
      <vt:lpstr>Equipment list&amp;costing</vt:lpstr>
      <vt:lpstr>Economics</vt:lpstr>
      <vt:lpstr>KCH3COOH Electrodialysis</vt:lpstr>
      <vt:lpstr>CGCC</vt:lpstr>
      <vt:lpstr>CombinedFigures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Lorenz Grau</dc:creator>
  <cp:keywords/>
  <dc:description/>
  <cp:lastModifiedBy>Dominik Bongartz</cp:lastModifiedBy>
  <cp:revision/>
  <dcterms:created xsi:type="dcterms:W3CDTF">2015-06-05T18:19:34Z</dcterms:created>
  <dcterms:modified xsi:type="dcterms:W3CDTF">2026-07-02T13:02:21Z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0x010100F676A69C08E20D4694FAA45BF4910293</vt:lpwstr>
  </property>
  <property fmtid="{D5CDD505-2E9C-101B-9397-08002B2CF9AE}" pid="3" name="MediaServiceImageTags">
    <vt:lpwstr/>
  </property>
</Properties>
</file>