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30" windowHeight="450" activeTab="3"/>
  </bookViews>
  <sheets>
    <sheet name="status-quo" sheetId="5" r:id="rId1"/>
    <sheet name="CCPP" sheetId="6" r:id="rId2"/>
    <sheet name="MeOH_uNG" sheetId="7" r:id="rId3"/>
    <sheet name="Input vs. Output" sheetId="31" r:id="rId4"/>
  </sheets>
  <calcPr calcId="152511"/>
</workbook>
</file>

<file path=xl/calcChain.xml><?xml version="1.0" encoding="utf-8"?>
<calcChain xmlns="http://schemas.openxmlformats.org/spreadsheetml/2006/main">
  <c r="Y17" i="31" l="1"/>
  <c r="X17" i="31"/>
  <c r="T30" i="31" l="1"/>
  <c r="I50" i="31"/>
  <c r="T53" i="31"/>
  <c r="Z53" i="31" s="1"/>
  <c r="T54" i="31"/>
  <c r="Z54" i="31" s="1"/>
  <c r="T55" i="31"/>
  <c r="Z55" i="31" s="1"/>
  <c r="T56" i="31"/>
  <c r="Z56" i="31" s="1"/>
  <c r="T57" i="31"/>
  <c r="Z57" i="31" s="1"/>
  <c r="T58" i="31"/>
  <c r="Z58" i="31" s="1"/>
  <c r="T59" i="31"/>
  <c r="Z59" i="31" s="1"/>
  <c r="T60" i="31"/>
  <c r="Z60" i="31" s="1"/>
  <c r="T61" i="31"/>
  <c r="Z61" i="31" s="1"/>
  <c r="T52" i="31"/>
  <c r="Z52" i="31" s="1"/>
  <c r="T34" i="31"/>
  <c r="Z34" i="31" s="1"/>
  <c r="T35" i="31"/>
  <c r="Z35" i="31" s="1"/>
  <c r="T36" i="31"/>
  <c r="Z36" i="31" s="1"/>
  <c r="T37" i="31"/>
  <c r="Z37" i="31" s="1"/>
  <c r="T38" i="31"/>
  <c r="Z38" i="31" s="1"/>
  <c r="T39" i="31"/>
  <c r="Z39" i="31" s="1"/>
  <c r="T40" i="31"/>
  <c r="Z40" i="31" s="1"/>
  <c r="T41" i="31"/>
  <c r="Z41" i="31" s="1"/>
  <c r="T42" i="31"/>
  <c r="Z42" i="31" s="1"/>
  <c r="T43" i="31"/>
  <c r="Z43" i="31" s="1"/>
  <c r="T44" i="31"/>
  <c r="Z44" i="31" s="1"/>
  <c r="T45" i="31"/>
  <c r="Z45" i="31" s="1"/>
  <c r="T46" i="31"/>
  <c r="Z46" i="31" s="1"/>
  <c r="T47" i="31"/>
  <c r="Z47" i="31" s="1"/>
  <c r="T48" i="31"/>
  <c r="Z48" i="31" s="1"/>
  <c r="T49" i="31"/>
  <c r="Z49" i="31" s="1"/>
  <c r="T50" i="31"/>
  <c r="Z50" i="31" s="1"/>
  <c r="T33" i="31"/>
  <c r="Z33" i="31" s="1"/>
  <c r="T32" i="31"/>
  <c r="Z32" i="31" s="1"/>
  <c r="T29" i="31"/>
  <c r="T26" i="31"/>
  <c r="T21" i="31"/>
  <c r="T16" i="31"/>
  <c r="T15" i="31"/>
  <c r="T14" i="31"/>
  <c r="T12" i="31"/>
  <c r="T11" i="31"/>
  <c r="T10" i="31"/>
  <c r="M103" i="31"/>
  <c r="T7" i="31" s="1"/>
  <c r="Z7" i="31" s="1"/>
  <c r="T5" i="31"/>
  <c r="T4" i="31"/>
  <c r="T3" i="31"/>
  <c r="S34" i="31"/>
  <c r="S33" i="31"/>
  <c r="Y33" i="31" s="1"/>
  <c r="S32" i="31"/>
  <c r="S29" i="31"/>
  <c r="S27" i="31"/>
  <c r="S24" i="31"/>
  <c r="S20" i="31"/>
  <c r="S19" i="31"/>
  <c r="S14" i="31"/>
  <c r="S13" i="31"/>
  <c r="S11" i="31"/>
  <c r="S10" i="31"/>
  <c r="S9" i="31"/>
  <c r="S8" i="31"/>
  <c r="S6" i="31"/>
  <c r="S5" i="31"/>
  <c r="Y5" i="31" s="1"/>
  <c r="S3" i="31"/>
  <c r="R34" i="31"/>
  <c r="X34" i="31" s="1"/>
  <c r="R33" i="31"/>
  <c r="X33" i="31" s="1"/>
  <c r="R32" i="31"/>
  <c r="X32" i="31" s="1"/>
  <c r="R24" i="31"/>
  <c r="R29" i="31"/>
  <c r="R19" i="31"/>
  <c r="X8" i="31" s="1"/>
  <c r="R6" i="31"/>
  <c r="R5" i="31"/>
  <c r="R3" i="31"/>
  <c r="M49" i="31"/>
  <c r="I61" i="31"/>
  <c r="I59" i="31"/>
  <c r="I57" i="31"/>
  <c r="I53" i="31"/>
  <c r="I54" i="31"/>
  <c r="I55" i="31"/>
  <c r="I56" i="31"/>
  <c r="I58" i="31"/>
  <c r="I60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52" i="31"/>
  <c r="I49" i="31"/>
  <c r="M65" i="31"/>
  <c r="T25" i="31" s="1"/>
  <c r="Z25" i="31" s="1"/>
  <c r="M51" i="31"/>
  <c r="M50" i="31"/>
  <c r="M48" i="31"/>
  <c r="M43" i="31"/>
  <c r="H20" i="31"/>
  <c r="H13" i="31"/>
  <c r="S26" i="31" s="1"/>
  <c r="Y34" i="31" l="1"/>
  <c r="Y80" i="31"/>
  <c r="Y81" i="31"/>
  <c r="Y82" i="31"/>
  <c r="Y83" i="31"/>
  <c r="Y64" i="31"/>
  <c r="Y84" i="31"/>
  <c r="Y74" i="31"/>
  <c r="Y77" i="31"/>
  <c r="Y85" i="31"/>
  <c r="Y73" i="31"/>
  <c r="Y78" i="31"/>
  <c r="Y76" i="31"/>
  <c r="Y72" i="31"/>
  <c r="Y79" i="31"/>
  <c r="Z79" i="31"/>
  <c r="Z74" i="31"/>
  <c r="Z68" i="31"/>
  <c r="Z80" i="31"/>
  <c r="Z73" i="31"/>
  <c r="Z64" i="31"/>
  <c r="Z81" i="31"/>
  <c r="Z72" i="31"/>
  <c r="Z82" i="31"/>
  <c r="Z83" i="31"/>
  <c r="Z84" i="31"/>
  <c r="Z77" i="31"/>
  <c r="Z85" i="31"/>
  <c r="Z78" i="31"/>
  <c r="Z76" i="31"/>
  <c r="Y4" i="31"/>
  <c r="Z17" i="31"/>
  <c r="Z65" i="31"/>
  <c r="Z66" i="31"/>
  <c r="Z67" i="31"/>
  <c r="Z69" i="31"/>
  <c r="Z70" i="31"/>
  <c r="Z71" i="31"/>
  <c r="Y24" i="31"/>
  <c r="Y9" i="31"/>
  <c r="Y27" i="31"/>
  <c r="Y32" i="31"/>
  <c r="Y11" i="31"/>
  <c r="Y26" i="31"/>
  <c r="Y3" i="31"/>
  <c r="Y14" i="31"/>
  <c r="Y10" i="31"/>
  <c r="Y29" i="31"/>
  <c r="Y13" i="31"/>
  <c r="Y20" i="31"/>
  <c r="X29" i="31"/>
  <c r="X24" i="31"/>
  <c r="X71" i="31"/>
  <c r="X3" i="31"/>
  <c r="X5" i="31"/>
  <c r="Y66" i="31"/>
  <c r="X55" i="31"/>
  <c r="Y54" i="31"/>
  <c r="X54" i="31"/>
  <c r="Y53" i="31"/>
  <c r="X39" i="31"/>
  <c r="Y45" i="31"/>
  <c r="X21" i="31"/>
  <c r="Y19" i="31"/>
  <c r="X19" i="31"/>
  <c r="Z10" i="31"/>
  <c r="Z26" i="31"/>
  <c r="X79" i="31"/>
  <c r="X47" i="31"/>
  <c r="X11" i="31"/>
  <c r="Y70" i="31"/>
  <c r="Y50" i="31"/>
  <c r="X78" i="31"/>
  <c r="X46" i="31"/>
  <c r="X10" i="31"/>
  <c r="Y69" i="31"/>
  <c r="Y46" i="31"/>
  <c r="Z3" i="31"/>
  <c r="Z14" i="31"/>
  <c r="X70" i="31"/>
  <c r="X38" i="31"/>
  <c r="Y42" i="31"/>
  <c r="Y15" i="31"/>
  <c r="Y6" i="31"/>
  <c r="Z15" i="31"/>
  <c r="X30" i="31"/>
  <c r="Y61" i="31"/>
  <c r="Y38" i="31"/>
  <c r="Y8" i="31"/>
  <c r="Z5" i="31"/>
  <c r="Y58" i="31"/>
  <c r="Y37" i="31"/>
  <c r="Y7" i="31"/>
  <c r="Z29" i="31"/>
  <c r="Z20" i="31"/>
  <c r="Z11" i="31"/>
  <c r="X85" i="31"/>
  <c r="X77" i="31"/>
  <c r="X69" i="31"/>
  <c r="X61" i="31"/>
  <c r="X53" i="31"/>
  <c r="X45" i="31"/>
  <c r="X37" i="31"/>
  <c r="X27" i="31"/>
  <c r="X18" i="31"/>
  <c r="X9" i="31"/>
  <c r="Y68" i="31"/>
  <c r="Y60" i="31"/>
  <c r="Y52" i="31"/>
  <c r="Y44" i="31"/>
  <c r="Y36" i="31"/>
  <c r="Y18" i="31"/>
  <c r="Z27" i="31"/>
  <c r="Z19" i="31"/>
  <c r="X84" i="31"/>
  <c r="X76" i="31"/>
  <c r="X68" i="31"/>
  <c r="X60" i="31"/>
  <c r="X52" i="31"/>
  <c r="X44" i="31"/>
  <c r="X36" i="31"/>
  <c r="X26" i="31"/>
  <c r="X16" i="31"/>
  <c r="X7" i="31"/>
  <c r="Y67" i="31"/>
  <c r="Y59" i="31"/>
  <c r="Y43" i="31"/>
  <c r="Y35" i="31"/>
  <c r="Y25" i="31"/>
  <c r="Y16" i="31"/>
  <c r="Z18" i="31"/>
  <c r="Z9" i="31"/>
  <c r="X67" i="31"/>
  <c r="X25" i="31"/>
  <c r="X59" i="31"/>
  <c r="X35" i="31"/>
  <c r="X6" i="31"/>
  <c r="Z8" i="31"/>
  <c r="X82" i="31"/>
  <c r="X74" i="31"/>
  <c r="X66" i="31"/>
  <c r="X58" i="31"/>
  <c r="X50" i="31"/>
  <c r="X42" i="31"/>
  <c r="X14" i="31"/>
  <c r="Y65" i="31"/>
  <c r="Y57" i="31"/>
  <c r="Y49" i="31"/>
  <c r="Y41" i="31"/>
  <c r="Y23" i="31"/>
  <c r="Z24" i="31"/>
  <c r="X15" i="31"/>
  <c r="Z16" i="31"/>
  <c r="X81" i="31"/>
  <c r="X73" i="31"/>
  <c r="X65" i="31"/>
  <c r="X57" i="31"/>
  <c r="X49" i="31"/>
  <c r="X41" i="31"/>
  <c r="X23" i="31"/>
  <c r="X13" i="31"/>
  <c r="X4" i="31"/>
  <c r="Y56" i="31"/>
  <c r="Y48" i="31"/>
  <c r="Y40" i="31"/>
  <c r="Y22" i="31"/>
  <c r="Z23" i="31"/>
  <c r="Z6" i="31"/>
  <c r="X83" i="31"/>
  <c r="X43" i="31"/>
  <c r="X80" i="31"/>
  <c r="X72" i="31"/>
  <c r="X64" i="31"/>
  <c r="X56" i="31"/>
  <c r="X48" i="31"/>
  <c r="X40" i="31"/>
  <c r="X22" i="31"/>
  <c r="X12" i="31"/>
  <c r="X20" i="31"/>
  <c r="Y71" i="31"/>
  <c r="Y55" i="31"/>
  <c r="Y47" i="31"/>
  <c r="Y39" i="31"/>
  <c r="Y30" i="31"/>
  <c r="Y21" i="31"/>
  <c r="Y12" i="31"/>
  <c r="Z22" i="31"/>
  <c r="Z13" i="31"/>
  <c r="Z30" i="31"/>
  <c r="Z21" i="31"/>
  <c r="Z12" i="31"/>
  <c r="Z4" i="31"/>
  <c r="H65" i="7"/>
  <c r="H59" i="7"/>
  <c r="H55" i="7"/>
  <c r="H54" i="7"/>
  <c r="H51" i="7"/>
  <c r="H50" i="7"/>
  <c r="H49" i="7"/>
  <c r="H48" i="7"/>
  <c r="H43" i="7"/>
  <c r="B27" i="7"/>
  <c r="B16" i="7"/>
  <c r="B73" i="6"/>
  <c r="C73" i="6" s="1"/>
  <c r="B72" i="6"/>
  <c r="C72" i="6" s="1"/>
  <c r="B71" i="6"/>
  <c r="C71" i="6" s="1"/>
  <c r="B70" i="6"/>
  <c r="C70" i="6" s="1"/>
  <c r="C69" i="6"/>
  <c r="C68" i="6"/>
  <c r="C67" i="6"/>
  <c r="C66" i="6"/>
  <c r="C65" i="6"/>
  <c r="C64" i="6"/>
  <c r="C63" i="6"/>
  <c r="C62" i="6"/>
  <c r="B61" i="6"/>
  <c r="C61" i="6" s="1"/>
  <c r="B60" i="6"/>
  <c r="C60" i="6" s="1"/>
  <c r="B59" i="6"/>
  <c r="C59" i="6" s="1"/>
  <c r="C58" i="6"/>
  <c r="B56" i="6"/>
  <c r="C55" i="6"/>
  <c r="C54" i="6"/>
  <c r="C53" i="6"/>
  <c r="C52" i="6"/>
  <c r="C50" i="6"/>
  <c r="C49" i="6"/>
  <c r="B20" i="6"/>
  <c r="B13" i="6"/>
  <c r="B57" i="6" l="1"/>
  <c r="C57" i="6" s="1"/>
  <c r="C56" i="6"/>
</calcChain>
</file>

<file path=xl/sharedStrings.xml><?xml version="1.0" encoding="utf-8"?>
<sst xmlns="http://schemas.openxmlformats.org/spreadsheetml/2006/main" count="1011" uniqueCount="212">
  <si>
    <t>Status-quo</t>
  </si>
  <si>
    <t>CCPP</t>
  </si>
  <si>
    <t>kg</t>
  </si>
  <si>
    <t>ACID INPUT</t>
  </si>
  <si>
    <t>H2S CONTENT IN ACID GAS</t>
  </si>
  <si>
    <t>solid sulfur</t>
  </si>
  <si>
    <t>kg/hr</t>
  </si>
  <si>
    <t>unit</t>
  </si>
  <si>
    <t>CO2 content in ACID gas</t>
  </si>
  <si>
    <t>N2 content in ACID gas</t>
  </si>
  <si>
    <t>O2 (99.44 wt.% purity)</t>
  </si>
  <si>
    <t>tail gas H2S content</t>
  </si>
  <si>
    <t>Sour water electricity required</t>
  </si>
  <si>
    <t>Sour water total (H2S content)</t>
  </si>
  <si>
    <t>Sour water total (CO2 content)</t>
  </si>
  <si>
    <t>Sour water total (NH3 content)</t>
  </si>
  <si>
    <t>kw</t>
  </si>
  <si>
    <t>Sour water heating  (LPS, around 100 C)</t>
  </si>
  <si>
    <t>sour water reboiling (MPS around 125 C)</t>
  </si>
  <si>
    <t>sour water reheat (NG around 235 C)</t>
  </si>
  <si>
    <t>Sour water total (SO2 content)</t>
  </si>
  <si>
    <t>Sour water total (COS content)</t>
  </si>
  <si>
    <t>Sour water total (HCL content)</t>
  </si>
  <si>
    <t>Sour water total (CH4 content)</t>
  </si>
  <si>
    <t>CH4 content in ACID gas</t>
  </si>
  <si>
    <t>NH3 content in ACID gas</t>
  </si>
  <si>
    <t>Total heat removed (utility) (steam 45 bar produ.)</t>
  </si>
  <si>
    <t>Total heat required (heater) (NG for temp. &gt;200C)</t>
  </si>
  <si>
    <t>Total heat required(utility) (NG)</t>
  </si>
  <si>
    <t>Total heat removed (condenser) （steam)</t>
  </si>
  <si>
    <t>-</t>
  </si>
  <si>
    <t>Sweet COG</t>
  </si>
  <si>
    <t>COG</t>
  </si>
  <si>
    <t>CO</t>
  </si>
  <si>
    <t>Emissions</t>
  </si>
  <si>
    <t>CO2</t>
  </si>
  <si>
    <t>SO2</t>
  </si>
  <si>
    <t>Nox</t>
  </si>
  <si>
    <t>Input</t>
  </si>
  <si>
    <t>BFG</t>
  </si>
  <si>
    <t>Air</t>
  </si>
  <si>
    <t>Water</t>
  </si>
  <si>
    <t>kg/h</t>
  </si>
  <si>
    <t>Emission</t>
  </si>
  <si>
    <t>Product</t>
  </si>
  <si>
    <t>Electricity</t>
  </si>
  <si>
    <t>Heat</t>
  </si>
  <si>
    <t>MDEA</t>
  </si>
  <si>
    <t>H2S</t>
  </si>
  <si>
    <t>Water solvent</t>
  </si>
  <si>
    <t>Claus</t>
  </si>
  <si>
    <t>Solid S</t>
  </si>
  <si>
    <t>Catalyst</t>
  </si>
  <si>
    <t xml:space="preserve">kg </t>
  </si>
  <si>
    <t>Membrane Desulphurization</t>
  </si>
  <si>
    <t>MDEA Desulphurization</t>
  </si>
  <si>
    <t>MeOH syn.</t>
  </si>
  <si>
    <t>Water for syn</t>
  </si>
  <si>
    <t>Cooling water</t>
  </si>
  <si>
    <t>Air in total</t>
  </si>
  <si>
    <t>MeOH</t>
  </si>
  <si>
    <t>Wast water</t>
  </si>
  <si>
    <t>MWH</t>
  </si>
  <si>
    <t xml:space="preserve">mass flow rate from aspen simulation kg/hr . suppose 90% CO2 recover rate. uNG senario. </t>
  </si>
  <si>
    <t>Comment</t>
  </si>
  <si>
    <t>CO2 from COG</t>
  </si>
  <si>
    <t>CO2 from BFG</t>
  </si>
  <si>
    <t>CO2 emission from BFG: the same amount BG used for carbon source. In this case, BFG is supposed to be combusted.</t>
  </si>
  <si>
    <t>mass flow rate calculated by total sulphur content in COG</t>
  </si>
  <si>
    <t>mass flow rate from aspen simulation kg/hr.  suppose 90% CO2 recover rate. uNG senario</t>
  </si>
  <si>
    <t>steel</t>
  </si>
  <si>
    <t>CO2 from BFG as source</t>
  </si>
  <si>
    <t>MDEA solvent makeup</t>
  </si>
  <si>
    <t>Heat from NG</t>
  </si>
  <si>
    <t>CO2 emission from BFG (BFG recover 90% of CO2.  10% released as carbon dioxide)</t>
  </si>
  <si>
    <t>Rectisol Desulphurization</t>
  </si>
  <si>
    <t>Elec.</t>
  </si>
  <si>
    <t>Refrigerant</t>
  </si>
  <si>
    <t>Ref: Rectisol wash process simulation and analysis. hot utility</t>
  </si>
  <si>
    <t>(the amount of H2S removed in this paper and the ref. are almost the same)</t>
  </si>
  <si>
    <t>linear correlation to H2S amount (Ref.: Rectisol wash process simulation and analysis)</t>
  </si>
  <si>
    <t>Catalyst CuO:ZnO:Al2O3:SiO2</t>
  </si>
  <si>
    <t>ton</t>
  </si>
  <si>
    <t>CuO</t>
  </si>
  <si>
    <t>ZnO</t>
  </si>
  <si>
    <t>Al2O3</t>
  </si>
  <si>
    <t>SiO2</t>
  </si>
  <si>
    <t>Output</t>
  </si>
  <si>
    <t>MeOH Catalyst prepare</t>
  </si>
  <si>
    <t>CSR catalyst</t>
  </si>
  <si>
    <t>Mg(NO3)2.6H2O</t>
  </si>
  <si>
    <t>Ce(NO)3.6H2O</t>
  </si>
  <si>
    <t>ZrO</t>
  </si>
  <si>
    <t>Ni(NO3)2.6H2O</t>
  </si>
  <si>
    <t>output</t>
  </si>
  <si>
    <t>CSR catalyst: Ni-MgO-Ce0.8Zr0.2O2</t>
  </si>
  <si>
    <t>air+air2 (purge gas comb)</t>
  </si>
  <si>
    <t>steel for construction</t>
  </si>
  <si>
    <t>Fe2O3</t>
  </si>
  <si>
    <t>MeOH catalyst</t>
  </si>
  <si>
    <t>catalyst For MTSR kg/hr</t>
  </si>
  <si>
    <t>MeOH synthesis catalyst kg/hr</t>
  </si>
  <si>
    <t>uNG for CSR</t>
  </si>
  <si>
    <t>heat from steam</t>
  </si>
  <si>
    <t>steam for SEP2 reboiler</t>
  </si>
  <si>
    <t>Transport, freight</t>
  </si>
  <si>
    <t>tkm</t>
  </si>
  <si>
    <t>All material used in COG+BFG to MeOH. without account for rectisol, membrane or MEA rate in 30 year lifetime</t>
  </si>
  <si>
    <t>Catalyst transport. suppose within Canada: 7000km. Rate in 30 year lifetime; tkm = 7000*(0.0267+0.0304+0.00202)/30/8000</t>
  </si>
  <si>
    <t>MW</t>
  </si>
  <si>
    <t>Additional Elec. From grid to compensate the status-quo elec. Amount</t>
  </si>
  <si>
    <t xml:space="preserve">Allocation based on energy </t>
  </si>
  <si>
    <t>Unit</t>
  </si>
  <si>
    <t>Steel</t>
  </si>
  <si>
    <t>Sulfur dioxide</t>
  </si>
  <si>
    <t>Ethene</t>
  </si>
  <si>
    <t>Methyl formate</t>
  </si>
  <si>
    <t>Methanol</t>
  </si>
  <si>
    <t>Ethanol</t>
  </si>
  <si>
    <t>Hydrogen</t>
  </si>
  <si>
    <t>m3</t>
  </si>
  <si>
    <t>Boiling Feed Water</t>
  </si>
  <si>
    <t>Yaser's chapter 2 case 3 simulation</t>
  </si>
  <si>
    <t>N2</t>
  </si>
  <si>
    <t>CS2</t>
  </si>
  <si>
    <t>NO</t>
  </si>
  <si>
    <t>NO2</t>
  </si>
  <si>
    <t>CO2 emission from the combusted upgraded BFG (Carbon source left BFG)</t>
  </si>
  <si>
    <t xml:space="preserve">heat needed for reboiler </t>
  </si>
  <si>
    <t>NG heat for CSR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</si>
  <si>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</si>
  <si>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Heat from BFG COMB</t>
  </si>
  <si>
    <t>mass flow rate from aspen simulation kg/hr from COG</t>
  </si>
  <si>
    <t>system expansion</t>
  </si>
  <si>
    <t>BFG as carbon source</t>
  </si>
  <si>
    <t>Makeup</t>
  </si>
  <si>
    <t>MDEA transport ignored</t>
  </si>
  <si>
    <t>Heat produced from the process</t>
  </si>
  <si>
    <t>heat from Cool1, cool2, cond, and xchg-101</t>
  </si>
  <si>
    <t>Emissions are associated in the Clause process</t>
  </si>
  <si>
    <t>Clause process</t>
  </si>
  <si>
    <t>input as heat avoided</t>
  </si>
  <si>
    <t>Outputs to technosphere: avoided products</t>
  </si>
  <si>
    <t>System expansion</t>
  </si>
  <si>
    <t xml:space="preserve">ccpp combustion </t>
  </si>
  <si>
    <t>ccpp process water</t>
  </si>
  <si>
    <t>Electricity for desulphurization compressor</t>
  </si>
  <si>
    <t>equipment total weight in ccpp, without MDEM process; rate: in 30 years, 8000 h per year</t>
  </si>
  <si>
    <t>ignore the environmental effect</t>
  </si>
  <si>
    <t>steel transport by lorry</t>
  </si>
  <si>
    <t>steel transport = 4480km/3*9.4493/1E3</t>
  </si>
  <si>
    <t>Electricity, surplus produced</t>
  </si>
  <si>
    <t>CO2 emission from COG</t>
  </si>
  <si>
    <t>from COG</t>
  </si>
  <si>
    <t>CO2 from BFG as carbon source</t>
  </si>
  <si>
    <t>Heat from BFG as source comb.</t>
  </si>
  <si>
    <t>makeup, Rectisol solvent from plant it self, make up(Ref: Li Sun, Rectisol wash process simulation and analysis)</t>
  </si>
  <si>
    <t>Hot utility from NG</t>
  </si>
  <si>
    <t>Process heat recovered</t>
  </si>
  <si>
    <t>Carbon resource from BFG (BFG recover 90% of CO2.  10% released as carbon dioxide)</t>
  </si>
  <si>
    <t>compressors+pumps</t>
  </si>
  <si>
    <t>steel transport within Canada = 4480km/3*5070904.17/1e3/30/8000 rate in 30 year lifetime</t>
  </si>
  <si>
    <t>Same amount of Elec. As status quo</t>
  </si>
  <si>
    <t>Methanol GLO</t>
  </si>
  <si>
    <t>Process Heat recovery</t>
  </si>
  <si>
    <t>heat recovery from cool2, meohsyn1, cool3, cool5</t>
  </si>
  <si>
    <t>Heat from upgraded BFG as carbon source</t>
  </si>
  <si>
    <t>Heat from upgraded BFG combustion</t>
  </si>
  <si>
    <t>CO2 emission from COG+BFG to MeOH process streams. Without consider utilities associated emissions</t>
  </si>
  <si>
    <t>ethyne</t>
  </si>
  <si>
    <t>thiophene</t>
  </si>
  <si>
    <t>ethane</t>
  </si>
  <si>
    <t>ethene</t>
  </si>
  <si>
    <t xml:space="preserve">Methanol </t>
  </si>
  <si>
    <t xml:space="preserve">water  </t>
  </si>
  <si>
    <t>ethanol</t>
  </si>
  <si>
    <t>monoethanolamine</t>
  </si>
  <si>
    <t>methyl formate</t>
  </si>
  <si>
    <t>dimethyl ether</t>
  </si>
  <si>
    <t>methane</t>
  </si>
  <si>
    <t>Emissions to water</t>
  </si>
  <si>
    <t>Emissions to air</t>
  </si>
  <si>
    <t>waste treatment</t>
  </si>
  <si>
    <t>wast treatment</t>
  </si>
  <si>
    <t>Waste treatment</t>
  </si>
  <si>
    <t>from CCPP production</t>
  </si>
  <si>
    <t>Electricity from Grid</t>
  </si>
  <si>
    <t>Status quo</t>
  </si>
  <si>
    <t>CBMeOH</t>
  </si>
  <si>
    <t>Water for solvent</t>
  </si>
  <si>
    <t>MeOH from internal</t>
  </si>
  <si>
    <t>Heat from BFG combustion</t>
  </si>
  <si>
    <t>Electricity from internal</t>
  </si>
  <si>
    <t xml:space="preserve">Electricity product </t>
  </si>
  <si>
    <t>Electricity to internal</t>
  </si>
  <si>
    <t>Water for synthesis</t>
  </si>
  <si>
    <t>Process water for power generation</t>
  </si>
  <si>
    <t xml:space="preserve">MeOH </t>
  </si>
  <si>
    <t>MeOH avoided</t>
  </si>
  <si>
    <t>Electricity avoided</t>
  </si>
  <si>
    <t>Waste treatment: Clause process</t>
  </si>
  <si>
    <t xml:space="preserve">Steel transport, freight, Ontario </t>
  </si>
  <si>
    <t>Catalyst transport, freight, Ontario</t>
  </si>
  <si>
    <t>Heat avoided from the process</t>
  </si>
  <si>
    <t>CO2 from process</t>
  </si>
  <si>
    <t>Electricity from grid</t>
  </si>
  <si>
    <t>NG for reboiler</t>
  </si>
  <si>
    <t>Electricity product, the same as status quo</t>
  </si>
  <si>
    <t>kwH</t>
  </si>
  <si>
    <t>Water for cooling</t>
  </si>
  <si>
    <t xml:space="preserve">Function unit </t>
  </si>
  <si>
    <t>Original data input in SimaPro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</si>
</sst>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00"/>
    <numFmt numFmtId="168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1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1" fontId="0" fillId="0" borderId="0" xfId="0" applyNumberFormat="1" applyBorder="1"/>
    <xf numFmtId="0" fontId="0" fillId="0" borderId="0" xfId="0" applyFill="1" applyBorder="1"/>
    <xf numFmtId="2" fontId="0" fillId="0" borderId="0" xfId="0" applyNumberFormat="1"/>
    <xf numFmtId="0" fontId="2" fillId="2" borderId="0" xfId="0" applyFont="1" applyFill="1"/>
    <xf numFmtId="0" fontId="0" fillId="2" borderId="2" xfId="0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0" fillId="0" borderId="2" xfId="0" applyFont="1" applyBorder="1"/>
    <xf numFmtId="0" fontId="2" fillId="2" borderId="3" xfId="0" applyFont="1" applyFill="1" applyBorder="1"/>
    <xf numFmtId="10" fontId="0" fillId="0" borderId="5" xfId="0" applyNumberFormat="1" applyBorder="1"/>
    <xf numFmtId="0" fontId="5" fillId="0" borderId="4" xfId="0" applyFont="1" applyBorder="1"/>
    <xf numFmtId="1" fontId="0" fillId="0" borderId="0" xfId="0" applyNumberFormat="1" applyBorder="1"/>
    <xf numFmtId="1" fontId="0" fillId="0" borderId="7" xfId="0" applyNumberFormat="1" applyBorder="1"/>
    <xf numFmtId="1" fontId="0" fillId="0" borderId="0" xfId="0" applyNumberFormat="1"/>
    <xf numFmtId="1" fontId="2" fillId="2" borderId="2" xfId="0" applyNumberFormat="1" applyFont="1" applyFill="1" applyBorder="1"/>
    <xf numFmtId="1" fontId="5" fillId="0" borderId="0" xfId="0" applyNumberFormat="1" applyFont="1" applyBorder="1"/>
    <xf numFmtId="2" fontId="0" fillId="0" borderId="0" xfId="0" applyNumberFormat="1" applyBorder="1"/>
    <xf numFmtId="2" fontId="0" fillId="0" borderId="7" xfId="0" applyNumberFormat="1" applyBorder="1"/>
    <xf numFmtId="1" fontId="0" fillId="0" borderId="0" xfId="0" applyNumberFormat="1" applyFont="1" applyBorder="1"/>
    <xf numFmtId="1" fontId="0" fillId="0" borderId="0" xfId="0" applyNumberFormat="1" applyFill="1" applyBorder="1"/>
    <xf numFmtId="9" fontId="0" fillId="0" borderId="5" xfId="0" applyNumberFormat="1" applyBorder="1"/>
    <xf numFmtId="0" fontId="0" fillId="0" borderId="4" xfId="0" applyFill="1" applyBorder="1"/>
    <xf numFmtId="0" fontId="0" fillId="0" borderId="6" xfId="0" applyFill="1" applyBorder="1"/>
    <xf numFmtId="0" fontId="0" fillId="0" borderId="7" xfId="0" applyFill="1" applyBorder="1"/>
    <xf numFmtId="0" fontId="1" fillId="0" borderId="0" xfId="0" applyFont="1" applyFill="1" applyBorder="1"/>
    <xf numFmtId="0" fontId="2" fillId="0" borderId="2" xfId="0" applyFont="1" applyBorder="1"/>
    <xf numFmtId="11" fontId="0" fillId="0" borderId="7" xfId="0" applyNumberFormat="1" applyBorder="1"/>
    <xf numFmtId="9" fontId="0" fillId="0" borderId="8" xfId="0" applyNumberFormat="1" applyBorder="1"/>
    <xf numFmtId="167" fontId="0" fillId="0" borderId="0" xfId="0" applyNumberFormat="1" applyBorder="1"/>
    <xf numFmtId="0" fontId="6" fillId="0" borderId="0" xfId="0" applyFont="1" applyBorder="1"/>
    <xf numFmtId="168" fontId="0" fillId="0" borderId="0" xfId="0" applyNumberFormat="1"/>
    <xf numFmtId="168" fontId="0" fillId="0" borderId="1" xfId="0" applyNumberFormat="1" applyBorder="1"/>
    <xf numFmtId="168" fontId="2" fillId="2" borderId="2" xfId="0" applyNumberFormat="1" applyFont="1" applyFill="1" applyBorder="1"/>
    <xf numFmtId="168" fontId="0" fillId="0" borderId="2" xfId="0" applyNumberFormat="1" applyBorder="1"/>
    <xf numFmtId="168" fontId="0" fillId="0" borderId="3" xfId="0" applyNumberFormat="1" applyBorder="1"/>
    <xf numFmtId="168" fontId="0" fillId="2" borderId="2" xfId="0" applyNumberFormat="1" applyFill="1" applyBorder="1"/>
    <xf numFmtId="168" fontId="2" fillId="2" borderId="3" xfId="0" applyNumberFormat="1" applyFont="1" applyFill="1" applyBorder="1"/>
    <xf numFmtId="168" fontId="2" fillId="2" borderId="4" xfId="0" applyNumberFormat="1" applyFont="1" applyFill="1" applyBorder="1"/>
    <xf numFmtId="168" fontId="0" fillId="0" borderId="0" xfId="0" applyNumberFormat="1" applyBorder="1"/>
    <xf numFmtId="168" fontId="0" fillId="0" borderId="5" xfId="0" applyNumberFormat="1" applyBorder="1"/>
    <xf numFmtId="168" fontId="0" fillId="0" borderId="4" xfId="0" applyNumberFormat="1" applyBorder="1"/>
    <xf numFmtId="168" fontId="5" fillId="0" borderId="4" xfId="0" applyNumberFormat="1" applyFont="1" applyBorder="1"/>
    <xf numFmtId="168" fontId="5" fillId="0" borderId="0" xfId="0" applyNumberFormat="1" applyFont="1" applyBorder="1"/>
    <xf numFmtId="168" fontId="0" fillId="0" borderId="4" xfId="0" applyNumberFormat="1" applyFill="1" applyBorder="1"/>
    <xf numFmtId="168" fontId="0" fillId="0" borderId="0" xfId="0" applyNumberFormat="1" applyFill="1" applyBorder="1"/>
    <xf numFmtId="168" fontId="0" fillId="0" borderId="6" xfId="0" applyNumberFormat="1" applyBorder="1"/>
    <xf numFmtId="168" fontId="0" fillId="0" borderId="7" xfId="0" applyNumberFormat="1" applyBorder="1"/>
    <xf numFmtId="168" fontId="0" fillId="0" borderId="8" xfId="0" applyNumberFormat="1" applyBorder="1"/>
    <xf numFmtId="168" fontId="0" fillId="0" borderId="2" xfId="0" applyNumberFormat="1" applyFont="1" applyBorder="1"/>
    <xf numFmtId="168" fontId="0" fillId="0" borderId="0" xfId="0" applyNumberFormat="1" applyFont="1" applyBorder="1"/>
    <xf numFmtId="168" fontId="0" fillId="0" borderId="6" xfId="0" applyNumberFormat="1" applyFill="1" applyBorder="1"/>
    <xf numFmtId="168" fontId="2" fillId="0" borderId="2" xfId="0" applyNumberFormat="1" applyFont="1" applyBorder="1"/>
    <xf numFmtId="168" fontId="1" fillId="0" borderId="0" xfId="0" applyNumberFormat="1" applyFont="1" applyFill="1" applyBorder="1"/>
    <xf numFmtId="168" fontId="6" fillId="0" borderId="0" xfId="0" applyNumberFormat="1" applyFont="1" applyBorder="1"/>
    <xf numFmtId="2" fontId="0" fillId="0" borderId="2" xfId="0" applyNumberFormat="1" applyBorder="1"/>
    <xf numFmtId="2" fontId="2" fillId="0" borderId="0" xfId="0" applyNumberFormat="1" applyFont="1" applyBorder="1"/>
    <xf numFmtId="2" fontId="0" fillId="0" borderId="3" xfId="0" applyNumberFormat="1" applyBorder="1"/>
    <xf numFmtId="2" fontId="2" fillId="0" borderId="4" xfId="0" applyNumberFormat="1" applyFont="1" applyBorder="1"/>
    <xf numFmtId="2" fontId="0" fillId="0" borderId="5" xfId="0" applyNumberFormat="1" applyBorder="1"/>
    <xf numFmtId="2" fontId="0" fillId="0" borderId="4" xfId="0" applyNumberFormat="1" applyBorder="1"/>
    <xf numFmtId="2" fontId="2" fillId="2" borderId="4" xfId="0" applyNumberFormat="1" applyFont="1" applyFill="1" applyBorder="1"/>
    <xf numFmtId="2" fontId="0" fillId="0" borderId="4" xfId="0" applyNumberFormat="1" applyFill="1" applyBorder="1"/>
    <xf numFmtId="2" fontId="0" fillId="0" borderId="6" xfId="0" applyNumberFormat="1" applyFill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5" xfId="0" applyNumberFormat="1" applyFill="1" applyBorder="1"/>
    <xf numFmtId="1" fontId="2" fillId="2" borderId="0" xfId="0" applyNumberFormat="1" applyFont="1" applyFill="1" applyBorder="1"/>
    <xf numFmtId="0" fontId="0" fillId="2" borderId="0" xfId="0" applyFill="1" applyBorder="1"/>
    <xf numFmtId="2" fontId="0" fillId="0" borderId="1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CCCC00"/>
      <color rgb="FFC07200"/>
      <color rgb="FFDEE303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29" sqref="G29"/>
    </sheetView>
  </sheetViews>
  <sheetFormatPr defaultRowHeight="15" x14ac:dyDescent="0.25"/>
  <cols>
    <col min="1" max="1" width="20.42578125" bestFit="1" customWidth="1"/>
    <col min="2" max="2" width="11" bestFit="1" customWidth="1"/>
    <col min="3" max="3" width="5.85546875" bestFit="1" customWidth="1"/>
  </cols>
  <sheetData>
    <row r="1" spans="1:5" x14ac:dyDescent="0.25">
      <c r="A1" s="2"/>
      <c r="B1" s="17" t="s">
        <v>0</v>
      </c>
      <c r="C1" s="3"/>
      <c r="D1" s="19" t="s">
        <v>64</v>
      </c>
      <c r="E1" s="6"/>
    </row>
    <row r="2" spans="1:5" x14ac:dyDescent="0.25">
      <c r="A2" s="16" t="s">
        <v>38</v>
      </c>
      <c r="B2" s="6"/>
      <c r="C2" s="6"/>
      <c r="D2" s="7"/>
      <c r="E2" s="6"/>
    </row>
    <row r="3" spans="1:5" x14ac:dyDescent="0.25">
      <c r="A3" s="5" t="s">
        <v>32</v>
      </c>
      <c r="B3" s="22">
        <v>16723.400000000001</v>
      </c>
      <c r="C3" s="6" t="s">
        <v>53</v>
      </c>
      <c r="D3" s="7"/>
      <c r="E3" s="6"/>
    </row>
    <row r="4" spans="1:5" x14ac:dyDescent="0.25">
      <c r="A4" s="21"/>
      <c r="B4" s="26"/>
      <c r="C4" s="6"/>
      <c r="D4" s="7"/>
      <c r="E4" s="6"/>
    </row>
    <row r="5" spans="1:5" x14ac:dyDescent="0.25">
      <c r="A5" s="5" t="s">
        <v>40</v>
      </c>
      <c r="B5" s="22">
        <v>476560</v>
      </c>
      <c r="C5" s="6" t="s">
        <v>53</v>
      </c>
      <c r="D5" s="7"/>
      <c r="E5" s="6"/>
    </row>
    <row r="6" spans="1:5" ht="17.25" x14ac:dyDescent="0.25">
      <c r="A6" s="5" t="s">
        <v>41</v>
      </c>
      <c r="B6" s="22">
        <v>109.71</v>
      </c>
      <c r="C6" s="6" t="s">
        <v>130</v>
      </c>
      <c r="D6" s="7"/>
      <c r="E6" s="6"/>
    </row>
    <row r="7" spans="1:5" x14ac:dyDescent="0.25">
      <c r="A7" s="5"/>
      <c r="B7" s="22"/>
      <c r="C7" s="6"/>
      <c r="D7" s="7"/>
      <c r="E7" s="6"/>
    </row>
    <row r="8" spans="1:5" x14ac:dyDescent="0.25">
      <c r="A8" s="16" t="s">
        <v>44</v>
      </c>
      <c r="B8" s="22"/>
      <c r="C8" s="6"/>
      <c r="D8" s="7"/>
      <c r="E8" s="6"/>
    </row>
    <row r="9" spans="1:5" x14ac:dyDescent="0.25">
      <c r="A9" s="5" t="s">
        <v>45</v>
      </c>
      <c r="B9" s="22">
        <v>26.786000000000001</v>
      </c>
      <c r="C9" s="6" t="s">
        <v>62</v>
      </c>
      <c r="D9" s="20">
        <v>0.42281999999999997</v>
      </c>
      <c r="E9" s="6"/>
    </row>
    <row r="10" spans="1:5" x14ac:dyDescent="0.25">
      <c r="A10" s="5"/>
      <c r="B10" s="22"/>
      <c r="C10" s="6"/>
      <c r="D10" s="7"/>
      <c r="E10" s="6"/>
    </row>
    <row r="11" spans="1:5" x14ac:dyDescent="0.25">
      <c r="A11" s="16" t="s">
        <v>43</v>
      </c>
      <c r="B11" s="22"/>
      <c r="C11" s="6"/>
      <c r="D11" s="7"/>
      <c r="E11" s="6"/>
    </row>
    <row r="12" spans="1:5" x14ac:dyDescent="0.25">
      <c r="A12" s="5" t="s">
        <v>65</v>
      </c>
      <c r="B12" s="22">
        <v>26645.319</v>
      </c>
      <c r="C12" s="6" t="s">
        <v>53</v>
      </c>
      <c r="D12" s="7" t="s">
        <v>132</v>
      </c>
      <c r="E12" s="6"/>
    </row>
    <row r="13" spans="1:5" x14ac:dyDescent="0.25">
      <c r="A13" s="5" t="s">
        <v>36</v>
      </c>
      <c r="B13" s="22">
        <v>366.6</v>
      </c>
      <c r="C13" s="6" t="s">
        <v>53</v>
      </c>
      <c r="D13" s="7" t="s">
        <v>68</v>
      </c>
      <c r="E13" s="6"/>
    </row>
    <row r="14" spans="1:5" x14ac:dyDescent="0.25">
      <c r="A14" s="5"/>
      <c r="B14" s="6"/>
      <c r="C14" s="6"/>
      <c r="D14" s="7"/>
      <c r="E14" s="6"/>
    </row>
    <row r="15" spans="1:5" x14ac:dyDescent="0.25">
      <c r="A15" s="5"/>
      <c r="B15" s="6"/>
      <c r="C15" s="6"/>
      <c r="D15" s="7"/>
      <c r="E15" s="6"/>
    </row>
    <row r="16" spans="1:5" x14ac:dyDescent="0.25">
      <c r="A16" s="5"/>
      <c r="B16" s="6"/>
      <c r="C16" s="6"/>
      <c r="D16" s="7"/>
      <c r="E16" s="6"/>
    </row>
    <row r="17" spans="1:5" x14ac:dyDescent="0.25">
      <c r="A17" s="5"/>
      <c r="B17" s="78" t="s">
        <v>133</v>
      </c>
      <c r="C17" s="6"/>
      <c r="D17" s="7"/>
      <c r="E17" s="6"/>
    </row>
    <row r="18" spans="1:5" x14ac:dyDescent="0.25">
      <c r="A18" s="16" t="s">
        <v>38</v>
      </c>
      <c r="B18" s="6"/>
      <c r="C18" s="6"/>
      <c r="D18" s="7"/>
      <c r="E18" s="6"/>
    </row>
    <row r="19" spans="1:5" x14ac:dyDescent="0.25">
      <c r="A19" s="5" t="s">
        <v>134</v>
      </c>
      <c r="B19" s="29">
        <v>55943</v>
      </c>
      <c r="C19" s="6" t="s">
        <v>53</v>
      </c>
      <c r="D19" s="7" t="s">
        <v>63</v>
      </c>
      <c r="E19" s="6"/>
    </row>
    <row r="20" spans="1:5" x14ac:dyDescent="0.25">
      <c r="A20" s="5"/>
      <c r="B20" s="22"/>
      <c r="C20" s="6"/>
      <c r="D20" s="7"/>
      <c r="E20" s="6"/>
    </row>
    <row r="21" spans="1:5" x14ac:dyDescent="0.25">
      <c r="A21" s="16" t="s">
        <v>44</v>
      </c>
      <c r="B21" s="22"/>
      <c r="C21" s="6"/>
      <c r="D21" s="7"/>
      <c r="E21" s="6"/>
    </row>
    <row r="22" spans="1:5" x14ac:dyDescent="0.25">
      <c r="A22" s="5" t="s">
        <v>131</v>
      </c>
      <c r="B22" s="30">
        <v>36.564999999999998</v>
      </c>
      <c r="C22" s="6" t="s">
        <v>62</v>
      </c>
      <c r="D22" s="20">
        <v>0.57718000000000003</v>
      </c>
      <c r="E22" s="6"/>
    </row>
    <row r="23" spans="1:5" x14ac:dyDescent="0.25">
      <c r="A23" s="5"/>
      <c r="B23" s="22"/>
      <c r="C23" s="6"/>
      <c r="D23" s="7"/>
      <c r="E23" s="6"/>
    </row>
    <row r="24" spans="1:5" x14ac:dyDescent="0.25">
      <c r="A24" s="16" t="s">
        <v>34</v>
      </c>
      <c r="B24" s="22"/>
      <c r="C24" s="6"/>
      <c r="D24" s="7"/>
      <c r="E24" s="6"/>
    </row>
    <row r="25" spans="1:5" ht="15.75" thickBot="1" x14ac:dyDescent="0.3">
      <c r="A25" s="8" t="s">
        <v>66</v>
      </c>
      <c r="B25" s="23">
        <v>36645.9254</v>
      </c>
      <c r="C25" s="9" t="s">
        <v>53</v>
      </c>
      <c r="D25" s="10" t="s">
        <v>67</v>
      </c>
      <c r="E25" s="6"/>
    </row>
    <row r="26" spans="1:5" x14ac:dyDescent="0.25">
      <c r="A26" s="6"/>
      <c r="B26" s="6"/>
      <c r="C26" s="6"/>
      <c r="D26" s="6"/>
      <c r="E26" s="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I24" sqref="I24"/>
    </sheetView>
  </sheetViews>
  <sheetFormatPr defaultRowHeight="15" x14ac:dyDescent="0.25"/>
  <cols>
    <col min="1" max="1" width="30" bestFit="1" customWidth="1"/>
    <col min="8" max="8" width="12" bestFit="1" customWidth="1"/>
  </cols>
  <sheetData>
    <row r="1" spans="1:5" x14ac:dyDescent="0.25">
      <c r="A1" s="2"/>
      <c r="B1" s="17" t="s">
        <v>55</v>
      </c>
      <c r="C1" s="3"/>
      <c r="D1" s="4"/>
    </row>
    <row r="2" spans="1:5" x14ac:dyDescent="0.25">
      <c r="A2" s="16" t="s">
        <v>38</v>
      </c>
      <c r="B2" s="6"/>
      <c r="C2" s="6"/>
      <c r="D2" s="7"/>
    </row>
    <row r="3" spans="1:5" x14ac:dyDescent="0.25">
      <c r="A3" s="5" t="s">
        <v>32</v>
      </c>
      <c r="B3" s="22">
        <v>16723.400000000001</v>
      </c>
      <c r="C3" s="6" t="s">
        <v>53</v>
      </c>
      <c r="D3" s="7"/>
    </row>
    <row r="4" spans="1:5" x14ac:dyDescent="0.25">
      <c r="A4" s="5" t="s">
        <v>45</v>
      </c>
      <c r="B4" s="22">
        <v>3.5606300000000002</v>
      </c>
      <c r="C4" s="6" t="s">
        <v>109</v>
      </c>
      <c r="D4" s="7" t="s">
        <v>185</v>
      </c>
    </row>
    <row r="5" spans="1:5" ht="17.25" x14ac:dyDescent="0.25">
      <c r="A5" s="5" t="s">
        <v>49</v>
      </c>
      <c r="B5" s="22">
        <v>0.157474</v>
      </c>
      <c r="C5" s="6" t="s">
        <v>130</v>
      </c>
      <c r="D5" s="7" t="s">
        <v>72</v>
      </c>
    </row>
    <row r="6" spans="1:5" x14ac:dyDescent="0.25">
      <c r="A6" s="5" t="s">
        <v>47</v>
      </c>
      <c r="B6" s="22">
        <v>0.11547660999999999</v>
      </c>
      <c r="C6" s="6" t="s">
        <v>53</v>
      </c>
      <c r="D6" s="7" t="s">
        <v>135</v>
      </c>
      <c r="E6" s="12" t="s">
        <v>136</v>
      </c>
    </row>
    <row r="7" spans="1:5" x14ac:dyDescent="0.25">
      <c r="A7" s="5" t="s">
        <v>73</v>
      </c>
      <c r="B7" s="22">
        <v>6.54</v>
      </c>
      <c r="C7" s="6" t="s">
        <v>109</v>
      </c>
      <c r="D7" s="7" t="s">
        <v>128</v>
      </c>
    </row>
    <row r="8" spans="1:5" x14ac:dyDescent="0.25">
      <c r="A8" s="5"/>
      <c r="B8" s="22"/>
      <c r="C8" s="6"/>
      <c r="D8" s="7"/>
    </row>
    <row r="9" spans="1:5" x14ac:dyDescent="0.25">
      <c r="A9" s="16" t="s">
        <v>44</v>
      </c>
      <c r="B9" s="22"/>
      <c r="C9" s="6"/>
      <c r="D9" s="7"/>
    </row>
    <row r="10" spans="1:5" x14ac:dyDescent="0.25">
      <c r="A10" s="5" t="s">
        <v>31</v>
      </c>
      <c r="B10" s="22">
        <v>16435.099999999999</v>
      </c>
      <c r="C10" s="6" t="s">
        <v>2</v>
      </c>
      <c r="D10" s="31">
        <v>1</v>
      </c>
    </row>
    <row r="11" spans="1:5" x14ac:dyDescent="0.25">
      <c r="A11" s="5"/>
      <c r="B11" s="22"/>
      <c r="C11" s="6"/>
      <c r="D11" s="31"/>
    </row>
    <row r="12" spans="1:5" x14ac:dyDescent="0.25">
      <c r="A12" s="16" t="s">
        <v>142</v>
      </c>
      <c r="B12" s="22"/>
      <c r="C12" s="6"/>
      <c r="D12" s="31"/>
    </row>
    <row r="13" spans="1:5" x14ac:dyDescent="0.25">
      <c r="A13" s="32" t="s">
        <v>137</v>
      </c>
      <c r="B13" s="39">
        <f>35560/3600</f>
        <v>9.8777777777777782</v>
      </c>
      <c r="C13" s="12" t="s">
        <v>109</v>
      </c>
      <c r="D13" s="7" t="s">
        <v>138</v>
      </c>
      <c r="E13" s="12" t="s">
        <v>141</v>
      </c>
    </row>
    <row r="14" spans="1:5" x14ac:dyDescent="0.25">
      <c r="A14" s="16" t="s">
        <v>184</v>
      </c>
      <c r="B14" s="22"/>
      <c r="C14" s="12"/>
      <c r="D14" s="7"/>
      <c r="E14" s="12"/>
    </row>
    <row r="15" spans="1:5" ht="15.75" thickBot="1" x14ac:dyDescent="0.3">
      <c r="A15" s="8" t="s">
        <v>48</v>
      </c>
      <c r="B15" s="23">
        <v>185.232</v>
      </c>
      <c r="C15" s="9" t="s">
        <v>2</v>
      </c>
      <c r="D15" s="38" t="s">
        <v>139</v>
      </c>
      <c r="E15" t="s">
        <v>182</v>
      </c>
    </row>
    <row r="17" spans="1:6" ht="15.75" thickBot="1" x14ac:dyDescent="0.3">
      <c r="A17" s="6"/>
      <c r="B17" s="22"/>
      <c r="C17" s="6"/>
      <c r="D17" s="6"/>
      <c r="E17" s="6"/>
      <c r="F17" s="6"/>
    </row>
    <row r="18" spans="1:6" x14ac:dyDescent="0.25">
      <c r="A18" s="2"/>
      <c r="B18" s="25" t="s">
        <v>1</v>
      </c>
      <c r="C18" s="18"/>
      <c r="D18" s="4"/>
      <c r="E18" s="6"/>
      <c r="F18" s="6"/>
    </row>
    <row r="19" spans="1:6" x14ac:dyDescent="0.25">
      <c r="A19" s="16" t="s">
        <v>38</v>
      </c>
      <c r="B19" s="22"/>
      <c r="C19" s="6"/>
      <c r="D19" s="7"/>
      <c r="E19" s="6"/>
      <c r="F19" s="6"/>
    </row>
    <row r="20" spans="1:6" x14ac:dyDescent="0.25">
      <c r="A20" s="5" t="s">
        <v>31</v>
      </c>
      <c r="B20" s="22">
        <f>B10</f>
        <v>16435.099999999999</v>
      </c>
      <c r="C20" s="6" t="s">
        <v>53</v>
      </c>
      <c r="D20" s="7"/>
      <c r="E20" s="6"/>
      <c r="F20" s="6"/>
    </row>
    <row r="21" spans="1:6" x14ac:dyDescent="0.25">
      <c r="A21" s="5" t="s">
        <v>40</v>
      </c>
      <c r="B21" s="22">
        <v>476560</v>
      </c>
      <c r="C21" s="6" t="s">
        <v>53</v>
      </c>
      <c r="D21" s="7" t="s">
        <v>144</v>
      </c>
      <c r="E21" s="6"/>
      <c r="F21" s="6"/>
    </row>
    <row r="22" spans="1:6" ht="17.25" x14ac:dyDescent="0.25">
      <c r="A22" s="5" t="s">
        <v>41</v>
      </c>
      <c r="B22" s="22">
        <v>109.71</v>
      </c>
      <c r="C22" s="6" t="s">
        <v>130</v>
      </c>
      <c r="D22" s="7" t="s">
        <v>145</v>
      </c>
      <c r="E22" s="6"/>
      <c r="F22" s="6"/>
    </row>
    <row r="23" spans="1:6" x14ac:dyDescent="0.25">
      <c r="A23" s="5" t="s">
        <v>70</v>
      </c>
      <c r="B23" s="22">
        <v>9.4492999999999991</v>
      </c>
      <c r="C23" s="6" t="s">
        <v>53</v>
      </c>
      <c r="D23" s="7" t="s">
        <v>147</v>
      </c>
      <c r="E23" s="12" t="s">
        <v>148</v>
      </c>
      <c r="F23" s="6"/>
    </row>
    <row r="24" spans="1:6" x14ac:dyDescent="0.25">
      <c r="A24" s="32" t="s">
        <v>149</v>
      </c>
      <c r="B24" s="30">
        <v>14.112</v>
      </c>
      <c r="C24" s="12" t="s">
        <v>106</v>
      </c>
      <c r="D24" s="7" t="s">
        <v>150</v>
      </c>
      <c r="E24" s="6"/>
      <c r="F24" s="6"/>
    </row>
    <row r="25" spans="1:6" x14ac:dyDescent="0.25">
      <c r="A25" s="5"/>
      <c r="B25" s="22"/>
      <c r="C25" s="6"/>
      <c r="D25" s="7"/>
      <c r="E25" s="6"/>
      <c r="F25" s="6"/>
    </row>
    <row r="26" spans="1:6" x14ac:dyDescent="0.25">
      <c r="A26" s="16" t="s">
        <v>44</v>
      </c>
      <c r="B26" s="22"/>
      <c r="C26" s="6"/>
      <c r="D26" s="7"/>
      <c r="E26" s="6"/>
      <c r="F26" s="6"/>
    </row>
    <row r="27" spans="1:6" x14ac:dyDescent="0.25">
      <c r="A27" s="5" t="s">
        <v>45</v>
      </c>
      <c r="B27" s="22">
        <v>26.786000000000001</v>
      </c>
      <c r="C27" s="6" t="s">
        <v>109</v>
      </c>
      <c r="D27" s="20">
        <v>0.40032299999999998</v>
      </c>
      <c r="E27" s="6"/>
      <c r="F27" s="6"/>
    </row>
    <row r="28" spans="1:6" x14ac:dyDescent="0.25">
      <c r="A28" s="5" t="s">
        <v>146</v>
      </c>
      <c r="B28" s="22">
        <v>3.56</v>
      </c>
      <c r="C28" s="6" t="s">
        <v>109</v>
      </c>
      <c r="D28" s="20">
        <v>5.3205000000000002E-2</v>
      </c>
      <c r="E28" s="6"/>
      <c r="F28" s="6"/>
    </row>
    <row r="29" spans="1:6" x14ac:dyDescent="0.25">
      <c r="A29" s="5"/>
      <c r="B29" s="22"/>
      <c r="C29" s="6"/>
      <c r="D29" s="7"/>
      <c r="E29" s="6"/>
      <c r="F29" s="6"/>
    </row>
    <row r="30" spans="1:6" x14ac:dyDescent="0.25">
      <c r="A30" s="16" t="s">
        <v>142</v>
      </c>
      <c r="B30" s="22"/>
      <c r="C30" s="6"/>
      <c r="D30" s="7"/>
      <c r="E30" s="6"/>
      <c r="F30" s="6"/>
    </row>
    <row r="31" spans="1:6" x14ac:dyDescent="0.25">
      <c r="A31" s="5" t="s">
        <v>151</v>
      </c>
      <c r="B31" s="27">
        <v>27.95</v>
      </c>
      <c r="C31" s="6" t="s">
        <v>109</v>
      </c>
      <c r="D31" s="7"/>
      <c r="E31" s="6"/>
      <c r="F31" s="6"/>
    </row>
    <row r="32" spans="1:6" x14ac:dyDescent="0.25">
      <c r="A32" s="5"/>
      <c r="B32" s="22"/>
      <c r="C32" s="6"/>
      <c r="D32" s="7"/>
      <c r="E32" s="6"/>
      <c r="F32" s="6"/>
    </row>
    <row r="33" spans="1:6" x14ac:dyDescent="0.25">
      <c r="A33" s="16" t="s">
        <v>34</v>
      </c>
      <c r="B33" s="22"/>
      <c r="C33" s="6"/>
      <c r="D33" s="7"/>
      <c r="E33" s="6"/>
      <c r="F33" s="6"/>
    </row>
    <row r="34" spans="1:6" x14ac:dyDescent="0.25">
      <c r="A34" s="5" t="s">
        <v>65</v>
      </c>
      <c r="B34" s="22">
        <v>26645.319144183999</v>
      </c>
      <c r="C34" s="6" t="s">
        <v>53</v>
      </c>
      <c r="D34" s="7" t="s">
        <v>152</v>
      </c>
      <c r="E34" s="6"/>
      <c r="F34" s="6"/>
    </row>
    <row r="35" spans="1:6" x14ac:dyDescent="0.25">
      <c r="A35" s="5" t="s">
        <v>36</v>
      </c>
      <c r="B35" s="22">
        <v>19.037913507793501</v>
      </c>
      <c r="C35" s="6" t="s">
        <v>53</v>
      </c>
      <c r="D35" s="7" t="s">
        <v>153</v>
      </c>
      <c r="E35" s="6"/>
      <c r="F35" s="6"/>
    </row>
    <row r="36" spans="1:6" x14ac:dyDescent="0.25">
      <c r="A36" s="5"/>
      <c r="B36" s="22"/>
      <c r="C36" s="6"/>
      <c r="D36" s="7"/>
      <c r="E36" s="6"/>
      <c r="F36" s="6"/>
    </row>
    <row r="37" spans="1:6" x14ac:dyDescent="0.25">
      <c r="A37" s="5"/>
      <c r="B37" s="77" t="s">
        <v>143</v>
      </c>
      <c r="C37" s="6"/>
      <c r="D37" s="7"/>
      <c r="E37" s="6"/>
      <c r="F37" s="6"/>
    </row>
    <row r="38" spans="1:6" x14ac:dyDescent="0.25">
      <c r="A38" s="16" t="s">
        <v>38</v>
      </c>
      <c r="B38" s="22"/>
      <c r="C38" s="6"/>
      <c r="D38" s="7"/>
      <c r="E38" s="6"/>
      <c r="F38" s="6"/>
    </row>
    <row r="39" spans="1:6" x14ac:dyDescent="0.25">
      <c r="A39" s="5" t="s">
        <v>39</v>
      </c>
      <c r="B39" s="22">
        <v>55943</v>
      </c>
      <c r="C39" s="6"/>
      <c r="D39" s="7" t="s">
        <v>69</v>
      </c>
      <c r="E39" s="6"/>
      <c r="F39" s="6"/>
    </row>
    <row r="40" spans="1:6" x14ac:dyDescent="0.25">
      <c r="A40" s="16" t="s">
        <v>87</v>
      </c>
      <c r="B40" s="22"/>
      <c r="C40" s="6"/>
      <c r="D40" s="7"/>
      <c r="E40" s="6"/>
      <c r="F40" s="6"/>
    </row>
    <row r="41" spans="1:6" x14ac:dyDescent="0.25">
      <c r="A41" s="32" t="s">
        <v>155</v>
      </c>
      <c r="B41" s="22">
        <v>36.564999999999998</v>
      </c>
      <c r="C41" s="6"/>
      <c r="D41" s="20">
        <v>0.54649999999999999</v>
      </c>
      <c r="E41" s="6"/>
      <c r="F41" s="6"/>
    </row>
    <row r="42" spans="1:6" x14ac:dyDescent="0.25">
      <c r="A42" s="16" t="s">
        <v>43</v>
      </c>
      <c r="B42" s="22"/>
      <c r="C42" s="6"/>
      <c r="D42" s="7"/>
      <c r="E42" s="6"/>
      <c r="F42" s="6"/>
    </row>
    <row r="43" spans="1:6" ht="15.75" thickBot="1" x14ac:dyDescent="0.3">
      <c r="A43" s="33" t="s">
        <v>154</v>
      </c>
      <c r="B43" s="23">
        <v>36645.9254</v>
      </c>
      <c r="C43" s="9"/>
      <c r="D43" s="10"/>
      <c r="E43" s="6"/>
      <c r="F43" s="6"/>
    </row>
    <row r="44" spans="1:6" x14ac:dyDescent="0.25">
      <c r="A44" s="12"/>
      <c r="B44" s="22"/>
      <c r="C44" s="6"/>
      <c r="D44" s="6"/>
      <c r="E44" s="6"/>
      <c r="F44" s="6"/>
    </row>
    <row r="45" spans="1:6" ht="15.75" thickBot="1" x14ac:dyDescent="0.3">
      <c r="B45" s="24"/>
    </row>
    <row r="46" spans="1:6" x14ac:dyDescent="0.25">
      <c r="A46" s="2"/>
      <c r="B46" s="25" t="s">
        <v>140</v>
      </c>
      <c r="C46" s="36"/>
      <c r="D46" s="4"/>
    </row>
    <row r="47" spans="1:6" x14ac:dyDescent="0.25">
      <c r="A47" s="5"/>
      <c r="B47" s="6" t="s">
        <v>122</v>
      </c>
      <c r="C47" s="6" t="s">
        <v>1</v>
      </c>
      <c r="D47" s="7" t="s">
        <v>7</v>
      </c>
    </row>
    <row r="48" spans="1:6" x14ac:dyDescent="0.25">
      <c r="A48" s="16" t="s">
        <v>3</v>
      </c>
      <c r="B48" s="6">
        <v>96052.9</v>
      </c>
      <c r="C48" s="6" t="s">
        <v>30</v>
      </c>
      <c r="D48" s="7" t="s">
        <v>53</v>
      </c>
    </row>
    <row r="49" spans="1:4" x14ac:dyDescent="0.25">
      <c r="A49" s="5" t="s">
        <v>10</v>
      </c>
      <c r="B49" s="6">
        <v>13808.9</v>
      </c>
      <c r="C49" s="12">
        <f>B49*$C$51/$B$51</f>
        <v>90.74691539572224</v>
      </c>
      <c r="D49" s="7" t="s">
        <v>53</v>
      </c>
    </row>
    <row r="50" spans="1:4" x14ac:dyDescent="0.25">
      <c r="A50" s="5" t="s">
        <v>121</v>
      </c>
      <c r="B50" s="6">
        <v>90856.7</v>
      </c>
      <c r="C50" s="12">
        <f>B50*$C$51/$B$51</f>
        <v>597.07618043685716</v>
      </c>
      <c r="D50" s="7" t="s">
        <v>53</v>
      </c>
    </row>
    <row r="51" spans="1:4" x14ac:dyDescent="0.25">
      <c r="A51" s="5" t="s">
        <v>4</v>
      </c>
      <c r="B51" s="6">
        <v>28187.7</v>
      </c>
      <c r="C51" s="35">
        <v>185.239</v>
      </c>
      <c r="D51" s="7" t="s">
        <v>53</v>
      </c>
    </row>
    <row r="52" spans="1:4" x14ac:dyDescent="0.25">
      <c r="A52" s="5" t="s">
        <v>8</v>
      </c>
      <c r="B52" s="6">
        <v>52867</v>
      </c>
      <c r="C52" s="12">
        <f t="shared" ref="C52:C73" si="0">B52*$C$51/$B$51</f>
        <v>347.422110104762</v>
      </c>
      <c r="D52" s="7" t="s">
        <v>53</v>
      </c>
    </row>
    <row r="53" spans="1:4" x14ac:dyDescent="0.25">
      <c r="A53" s="5" t="s">
        <v>9</v>
      </c>
      <c r="B53" s="6">
        <v>12993.2</v>
      </c>
      <c r="C53" s="12">
        <f t="shared" si="0"/>
        <v>85.386440709955068</v>
      </c>
      <c r="D53" s="7" t="s">
        <v>53</v>
      </c>
    </row>
    <row r="54" spans="1:4" x14ac:dyDescent="0.25">
      <c r="A54" s="5" t="s">
        <v>24</v>
      </c>
      <c r="B54" s="6">
        <v>1.24913E-2</v>
      </c>
      <c r="C54" s="12">
        <f t="shared" si="0"/>
        <v>8.2088142015843791E-5</v>
      </c>
      <c r="D54" s="7" t="s">
        <v>53</v>
      </c>
    </row>
    <row r="55" spans="1:4" x14ac:dyDescent="0.25">
      <c r="A55" s="5" t="s">
        <v>25</v>
      </c>
      <c r="B55" s="11">
        <v>5.0607199999999998E-7</v>
      </c>
      <c r="C55" s="12">
        <f t="shared" si="0"/>
        <v>3.3257155144974579E-9</v>
      </c>
      <c r="D55" s="7" t="s">
        <v>53</v>
      </c>
    </row>
    <row r="56" spans="1:4" x14ac:dyDescent="0.25">
      <c r="A56" s="5" t="s">
        <v>27</v>
      </c>
      <c r="B56" s="6">
        <f>10489.805/1000</f>
        <v>10.489805</v>
      </c>
      <c r="C56" s="12">
        <f t="shared" si="0"/>
        <v>6.8935067011320544E-2</v>
      </c>
      <c r="D56" s="7" t="s">
        <v>109</v>
      </c>
    </row>
    <row r="57" spans="1:4" x14ac:dyDescent="0.25">
      <c r="A57" s="5" t="s">
        <v>28</v>
      </c>
      <c r="B57" s="6">
        <f>(B56+B71+B72+B73)*3600/55570</f>
        <v>0.68695916501709553</v>
      </c>
      <c r="C57" s="12">
        <f t="shared" si="0"/>
        <v>4.5144381687261381E-3</v>
      </c>
      <c r="D57" s="7" t="s">
        <v>53</v>
      </c>
    </row>
    <row r="58" spans="1:4" x14ac:dyDescent="0.25">
      <c r="A58" s="16" t="s">
        <v>87</v>
      </c>
      <c r="B58" s="6"/>
      <c r="C58" s="12">
        <f t="shared" si="0"/>
        <v>0</v>
      </c>
      <c r="D58" s="7"/>
    </row>
    <row r="59" spans="1:4" x14ac:dyDescent="0.25">
      <c r="A59" s="5" t="s">
        <v>26</v>
      </c>
      <c r="B59" s="6">
        <f>B50</f>
        <v>90856.7</v>
      </c>
      <c r="C59" s="12">
        <f t="shared" si="0"/>
        <v>597.07618043685716</v>
      </c>
      <c r="D59" s="7" t="s">
        <v>53</v>
      </c>
    </row>
    <row r="60" spans="1:4" x14ac:dyDescent="0.25">
      <c r="A60" s="5" t="s">
        <v>29</v>
      </c>
      <c r="B60" s="6">
        <f>73592.51446/1000</f>
        <v>73.592514460000004</v>
      </c>
      <c r="C60" s="12">
        <f t="shared" si="0"/>
        <v>0.48362242347037682</v>
      </c>
      <c r="D60" s="7" t="s">
        <v>109</v>
      </c>
    </row>
    <row r="61" spans="1:4" x14ac:dyDescent="0.25">
      <c r="A61" s="5" t="s">
        <v>5</v>
      </c>
      <c r="B61" s="6">
        <f>SUM(H61:H73)</f>
        <v>0</v>
      </c>
      <c r="C61" s="12">
        <f t="shared" si="0"/>
        <v>0</v>
      </c>
      <c r="D61" s="7" t="s">
        <v>2</v>
      </c>
    </row>
    <row r="62" spans="1:4" x14ac:dyDescent="0.25">
      <c r="A62" s="5" t="s">
        <v>11</v>
      </c>
      <c r="B62" s="6">
        <v>687.70299999999997</v>
      </c>
      <c r="C62" s="12">
        <f t="shared" si="0"/>
        <v>4.5193263734536693</v>
      </c>
      <c r="D62" s="7" t="s">
        <v>2</v>
      </c>
    </row>
    <row r="63" spans="1:4" x14ac:dyDescent="0.25">
      <c r="A63" s="5" t="s">
        <v>13</v>
      </c>
      <c r="B63" s="6">
        <v>0.87187800000000004</v>
      </c>
      <c r="C63" s="12">
        <f t="shared" si="0"/>
        <v>5.729655446950266E-3</v>
      </c>
      <c r="D63" s="7" t="s">
        <v>2</v>
      </c>
    </row>
    <row r="64" spans="1:4" x14ac:dyDescent="0.25">
      <c r="A64" s="5" t="s">
        <v>15</v>
      </c>
      <c r="B64" s="6">
        <v>0.90147565399999996</v>
      </c>
      <c r="C64" s="12">
        <f t="shared" si="0"/>
        <v>5.9241601362050112E-3</v>
      </c>
      <c r="D64" s="7" t="s">
        <v>2</v>
      </c>
    </row>
    <row r="65" spans="1:4" x14ac:dyDescent="0.25">
      <c r="A65" s="5" t="s">
        <v>14</v>
      </c>
      <c r="B65" s="6">
        <v>24.165873000000001</v>
      </c>
      <c r="C65" s="12">
        <f t="shared" si="0"/>
        <v>0.15880906028682726</v>
      </c>
      <c r="D65" s="7" t="s">
        <v>2</v>
      </c>
    </row>
    <row r="66" spans="1:4" x14ac:dyDescent="0.25">
      <c r="A66" s="5" t="s">
        <v>20</v>
      </c>
      <c r="B66" s="11">
        <v>2.3121E-10</v>
      </c>
      <c r="C66" s="12">
        <f t="shared" si="0"/>
        <v>1.5194254653625517E-12</v>
      </c>
      <c r="D66" s="7" t="s">
        <v>2</v>
      </c>
    </row>
    <row r="67" spans="1:4" x14ac:dyDescent="0.25">
      <c r="A67" s="5" t="s">
        <v>21</v>
      </c>
      <c r="B67" s="11">
        <v>4.9151200000000005E-4</v>
      </c>
      <c r="C67" s="12">
        <f t="shared" si="0"/>
        <v>3.2300326514046907E-6</v>
      </c>
      <c r="D67" s="7" t="s">
        <v>2</v>
      </c>
    </row>
    <row r="68" spans="1:4" x14ac:dyDescent="0.25">
      <c r="A68" s="5" t="s">
        <v>22</v>
      </c>
      <c r="B68" s="11">
        <v>0.49118329999999999</v>
      </c>
      <c r="C68" s="12">
        <f t="shared" si="0"/>
        <v>3.22787255819737E-3</v>
      </c>
      <c r="D68" s="7" t="s">
        <v>2</v>
      </c>
    </row>
    <row r="69" spans="1:4" x14ac:dyDescent="0.25">
      <c r="A69" s="5" t="s">
        <v>23</v>
      </c>
      <c r="B69" s="11">
        <v>4.4740090000000001E-3</v>
      </c>
      <c r="C69" s="12">
        <f t="shared" si="0"/>
        <v>2.9401510344973165E-5</v>
      </c>
      <c r="D69" s="7" t="s">
        <v>2</v>
      </c>
    </row>
    <row r="70" spans="1:4" x14ac:dyDescent="0.25">
      <c r="A70" s="5" t="s">
        <v>12</v>
      </c>
      <c r="B70" s="6">
        <f>0.073/1000</f>
        <v>7.2999999999999999E-5</v>
      </c>
      <c r="C70" s="12">
        <f t="shared" si="0"/>
        <v>4.7972864050632015E-7</v>
      </c>
      <c r="D70" s="7" t="s">
        <v>109</v>
      </c>
    </row>
    <row r="71" spans="1:4" x14ac:dyDescent="0.25">
      <c r="A71" s="5" t="s">
        <v>17</v>
      </c>
      <c r="B71" s="6">
        <f>25.57/1000</f>
        <v>2.5569999999999999E-2</v>
      </c>
      <c r="C71" s="12">
        <f t="shared" si="0"/>
        <v>1.6803645668146032E-4</v>
      </c>
      <c r="D71" s="7" t="s">
        <v>109</v>
      </c>
    </row>
    <row r="72" spans="1:4" x14ac:dyDescent="0.25">
      <c r="A72" s="5" t="s">
        <v>18</v>
      </c>
      <c r="B72" s="6">
        <f>88.22/1000</f>
        <v>8.8219999999999993E-2</v>
      </c>
      <c r="C72" s="12">
        <f t="shared" si="0"/>
        <v>5.7974877623928167E-4</v>
      </c>
      <c r="D72" s="7" t="s">
        <v>109</v>
      </c>
    </row>
    <row r="73" spans="1:4" ht="15.75" thickBot="1" x14ac:dyDescent="0.3">
      <c r="A73" s="8" t="s">
        <v>19</v>
      </c>
      <c r="B73" s="9">
        <f>0.383/1000</f>
        <v>3.8299999999999999E-4</v>
      </c>
      <c r="C73" s="34">
        <f t="shared" si="0"/>
        <v>2.516932456355077E-6</v>
      </c>
      <c r="D73" s="10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opLeftCell="A79" workbookViewId="0">
      <selection activeCell="Q85" sqref="Q85"/>
    </sheetView>
  </sheetViews>
  <sheetFormatPr defaultRowHeight="15" x14ac:dyDescent="0.25"/>
  <cols>
    <col min="1" max="1" width="13.42578125" bestFit="1" customWidth="1"/>
    <col min="7" max="7" width="32.28515625" bestFit="1" customWidth="1"/>
  </cols>
  <sheetData>
    <row r="1" spans="1:11" x14ac:dyDescent="0.25">
      <c r="B1" s="14" t="s">
        <v>54</v>
      </c>
      <c r="G1" s="2"/>
      <c r="H1" s="15" t="s">
        <v>75</v>
      </c>
      <c r="I1" s="3"/>
      <c r="J1" s="4"/>
    </row>
    <row r="2" spans="1:11" x14ac:dyDescent="0.25">
      <c r="A2" s="14" t="s">
        <v>38</v>
      </c>
      <c r="G2" s="16" t="s">
        <v>38</v>
      </c>
      <c r="H2" s="6"/>
      <c r="I2" s="6"/>
      <c r="J2" s="7"/>
    </row>
    <row r="3" spans="1:11" x14ac:dyDescent="0.25">
      <c r="A3" t="s">
        <v>32</v>
      </c>
      <c r="B3">
        <v>16723.400000000001</v>
      </c>
      <c r="C3" t="s">
        <v>42</v>
      </c>
      <c r="G3" s="5" t="s">
        <v>32</v>
      </c>
      <c r="H3" s="6">
        <v>16723.400000000001</v>
      </c>
      <c r="I3" s="6" t="s">
        <v>53</v>
      </c>
      <c r="J3" s="7"/>
    </row>
    <row r="4" spans="1:11" x14ac:dyDescent="0.25">
      <c r="A4" t="s">
        <v>52</v>
      </c>
      <c r="C4" t="s">
        <v>53</v>
      </c>
      <c r="G4" s="5" t="s">
        <v>60</v>
      </c>
      <c r="H4" s="6">
        <v>11.23</v>
      </c>
      <c r="I4" s="6" t="s">
        <v>53</v>
      </c>
      <c r="J4" s="7" t="s">
        <v>156</v>
      </c>
    </row>
    <row r="5" spans="1:11" x14ac:dyDescent="0.25">
      <c r="G5" s="5" t="s">
        <v>157</v>
      </c>
      <c r="H5" s="6">
        <v>11.349</v>
      </c>
      <c r="I5" s="6" t="s">
        <v>109</v>
      </c>
      <c r="J5" s="7" t="s">
        <v>78</v>
      </c>
    </row>
    <row r="6" spans="1:11" x14ac:dyDescent="0.25">
      <c r="A6" s="14" t="s">
        <v>44</v>
      </c>
      <c r="G6" s="5" t="s">
        <v>76</v>
      </c>
      <c r="H6" s="6">
        <v>1.72</v>
      </c>
      <c r="I6" s="6" t="s">
        <v>109</v>
      </c>
      <c r="J6" s="7" t="s">
        <v>79</v>
      </c>
    </row>
    <row r="7" spans="1:11" x14ac:dyDescent="0.25">
      <c r="A7" t="s">
        <v>31</v>
      </c>
      <c r="B7">
        <v>16532.099999999999</v>
      </c>
      <c r="C7" t="s">
        <v>42</v>
      </c>
      <c r="G7" s="5" t="s">
        <v>77</v>
      </c>
      <c r="H7" s="6">
        <v>1.66343</v>
      </c>
      <c r="I7" s="6" t="s">
        <v>109</v>
      </c>
      <c r="J7" s="7" t="s">
        <v>80</v>
      </c>
    </row>
    <row r="8" spans="1:11" x14ac:dyDescent="0.25">
      <c r="A8" t="s">
        <v>48</v>
      </c>
      <c r="B8">
        <v>191.31800000000001</v>
      </c>
      <c r="C8" t="s">
        <v>42</v>
      </c>
      <c r="G8" s="5"/>
      <c r="H8" s="6"/>
      <c r="I8" s="6"/>
      <c r="J8" s="7"/>
    </row>
    <row r="9" spans="1:11" x14ac:dyDescent="0.25">
      <c r="G9" s="16" t="s">
        <v>44</v>
      </c>
      <c r="H9" s="6"/>
      <c r="I9" s="6"/>
      <c r="J9" s="7"/>
    </row>
    <row r="10" spans="1:11" x14ac:dyDescent="0.25">
      <c r="B10" s="14" t="s">
        <v>50</v>
      </c>
      <c r="G10" s="5" t="s">
        <v>31</v>
      </c>
      <c r="H10" s="6">
        <v>16532.099999999999</v>
      </c>
      <c r="I10" s="6" t="s">
        <v>53</v>
      </c>
      <c r="J10" s="31">
        <v>1</v>
      </c>
    </row>
    <row r="11" spans="1:11" x14ac:dyDescent="0.25">
      <c r="B11" s="14"/>
      <c r="G11" s="16" t="s">
        <v>184</v>
      </c>
      <c r="H11" s="6"/>
      <c r="I11" s="6"/>
      <c r="J11" s="31"/>
    </row>
    <row r="12" spans="1:11" x14ac:dyDescent="0.25">
      <c r="A12" s="14" t="s">
        <v>38</v>
      </c>
      <c r="G12" s="5" t="s">
        <v>48</v>
      </c>
      <c r="H12" s="6">
        <v>191.31800000000001</v>
      </c>
      <c r="I12" s="6" t="s">
        <v>53</v>
      </c>
      <c r="J12" s="7"/>
      <c r="K12" t="s">
        <v>183</v>
      </c>
    </row>
    <row r="13" spans="1:11" x14ac:dyDescent="0.25">
      <c r="A13" s="14"/>
      <c r="G13" s="5"/>
      <c r="H13" s="6"/>
      <c r="I13" s="6"/>
      <c r="J13" s="7"/>
    </row>
    <row r="14" spans="1:11" x14ac:dyDescent="0.25">
      <c r="A14" s="14"/>
      <c r="G14" s="16" t="s">
        <v>142</v>
      </c>
      <c r="H14" s="6"/>
      <c r="I14" s="6"/>
      <c r="J14" s="7"/>
    </row>
    <row r="15" spans="1:11" ht="15.75" thickBot="1" x14ac:dyDescent="0.3">
      <c r="A15" s="14"/>
      <c r="G15" s="8" t="s">
        <v>158</v>
      </c>
      <c r="H15" s="9">
        <v>17.417000000000002</v>
      </c>
      <c r="I15" s="9" t="s">
        <v>109</v>
      </c>
      <c r="J15" s="10"/>
    </row>
    <row r="16" spans="1:11" ht="15.75" thickBot="1" x14ac:dyDescent="0.3">
      <c r="A16" t="s">
        <v>48</v>
      </c>
      <c r="B16">
        <f>B8</f>
        <v>191.31800000000001</v>
      </c>
      <c r="C16" t="s">
        <v>42</v>
      </c>
    </row>
    <row r="17" spans="1:10" x14ac:dyDescent="0.25">
      <c r="G17" s="2"/>
      <c r="H17" s="17" t="s">
        <v>88</v>
      </c>
      <c r="I17" s="3"/>
      <c r="J17" s="4"/>
    </row>
    <row r="18" spans="1:10" x14ac:dyDescent="0.25">
      <c r="A18" s="14" t="s">
        <v>44</v>
      </c>
      <c r="G18" s="16" t="s">
        <v>38</v>
      </c>
      <c r="H18" s="6"/>
      <c r="I18" s="6"/>
      <c r="J18" s="7"/>
    </row>
    <row r="19" spans="1:10" x14ac:dyDescent="0.25">
      <c r="A19" t="s">
        <v>51</v>
      </c>
      <c r="C19" t="s">
        <v>42</v>
      </c>
      <c r="G19" s="5" t="s">
        <v>83</v>
      </c>
      <c r="H19" s="6">
        <v>59.8</v>
      </c>
      <c r="I19" s="6" t="s">
        <v>82</v>
      </c>
      <c r="J19" s="7"/>
    </row>
    <row r="20" spans="1:10" x14ac:dyDescent="0.25">
      <c r="A20" t="s">
        <v>52</v>
      </c>
      <c r="C20" t="s">
        <v>53</v>
      </c>
      <c r="G20" s="5" t="s">
        <v>84</v>
      </c>
      <c r="H20" s="6">
        <v>61.2</v>
      </c>
      <c r="I20" s="6" t="s">
        <v>82</v>
      </c>
      <c r="J20" s="7"/>
    </row>
    <row r="21" spans="1:10" x14ac:dyDescent="0.25">
      <c r="G21" s="5" t="s">
        <v>85</v>
      </c>
      <c r="H21" s="6">
        <v>76.7</v>
      </c>
      <c r="I21" s="6" t="s">
        <v>82</v>
      </c>
      <c r="J21" s="7"/>
    </row>
    <row r="22" spans="1:10" x14ac:dyDescent="0.25">
      <c r="A22" s="14" t="s">
        <v>34</v>
      </c>
      <c r="G22" s="5" t="s">
        <v>86</v>
      </c>
      <c r="H22" s="6">
        <v>45.2</v>
      </c>
      <c r="I22" s="6" t="s">
        <v>82</v>
      </c>
      <c r="J22" s="7"/>
    </row>
    <row r="23" spans="1:10" x14ac:dyDescent="0.25">
      <c r="G23" s="5" t="s">
        <v>41</v>
      </c>
      <c r="H23" s="6"/>
      <c r="I23" s="6"/>
      <c r="J23" s="7"/>
    </row>
    <row r="24" spans="1:10" x14ac:dyDescent="0.25">
      <c r="G24" s="5" t="s">
        <v>45</v>
      </c>
      <c r="H24" s="6"/>
      <c r="I24" s="6"/>
      <c r="J24" s="7"/>
    </row>
    <row r="25" spans="1:10" x14ac:dyDescent="0.25">
      <c r="B25" s="14" t="s">
        <v>56</v>
      </c>
      <c r="G25" s="5"/>
      <c r="H25" s="6"/>
      <c r="I25" s="6"/>
      <c r="J25" s="7"/>
    </row>
    <row r="26" spans="1:10" x14ac:dyDescent="0.25">
      <c r="A26" s="14" t="s">
        <v>38</v>
      </c>
      <c r="G26" s="16" t="s">
        <v>87</v>
      </c>
      <c r="H26" s="6"/>
      <c r="I26" s="6"/>
      <c r="J26" s="7"/>
    </row>
    <row r="27" spans="1:10" x14ac:dyDescent="0.25">
      <c r="A27" t="s">
        <v>31</v>
      </c>
      <c r="B27">
        <f>B7</f>
        <v>16532.099999999999</v>
      </c>
      <c r="C27" t="s">
        <v>42</v>
      </c>
      <c r="G27" s="5" t="s">
        <v>81</v>
      </c>
      <c r="H27" s="6">
        <v>242.84</v>
      </c>
      <c r="I27" s="6" t="s">
        <v>82</v>
      </c>
      <c r="J27" s="7"/>
    </row>
    <row r="28" spans="1:10" ht="15.75" thickBot="1" x14ac:dyDescent="0.3">
      <c r="A28" t="s">
        <v>39</v>
      </c>
      <c r="B28">
        <v>55943</v>
      </c>
      <c r="C28" t="s">
        <v>42</v>
      </c>
      <c r="D28" t="s">
        <v>74</v>
      </c>
      <c r="G28" s="8" t="s">
        <v>41</v>
      </c>
      <c r="H28" s="9"/>
      <c r="I28" s="9"/>
      <c r="J28" s="10"/>
    </row>
    <row r="29" spans="1:10" x14ac:dyDescent="0.25">
      <c r="A29" t="s">
        <v>59</v>
      </c>
      <c r="C29" t="s">
        <v>42</v>
      </c>
    </row>
    <row r="30" spans="1:10" ht="15.75" thickBot="1" x14ac:dyDescent="0.3">
      <c r="A30" t="s">
        <v>45</v>
      </c>
      <c r="C30" t="s">
        <v>42</v>
      </c>
    </row>
    <row r="31" spans="1:10" x14ac:dyDescent="0.25">
      <c r="A31" t="s">
        <v>57</v>
      </c>
      <c r="C31" t="s">
        <v>42</v>
      </c>
      <c r="G31" s="2"/>
      <c r="H31" s="17" t="s">
        <v>89</v>
      </c>
      <c r="I31" s="3"/>
      <c r="J31" s="4"/>
    </row>
    <row r="32" spans="1:10" x14ac:dyDescent="0.25">
      <c r="A32" t="s">
        <v>58</v>
      </c>
      <c r="C32" t="s">
        <v>42</v>
      </c>
      <c r="G32" s="16" t="s">
        <v>38</v>
      </c>
      <c r="H32" s="6"/>
      <c r="I32" s="6"/>
      <c r="J32" s="7"/>
    </row>
    <row r="33" spans="1:10" x14ac:dyDescent="0.25">
      <c r="G33" s="5" t="s">
        <v>93</v>
      </c>
      <c r="H33" s="6">
        <v>18022.966</v>
      </c>
      <c r="I33" s="6" t="s">
        <v>2</v>
      </c>
      <c r="J33" s="7"/>
    </row>
    <row r="34" spans="1:10" x14ac:dyDescent="0.25">
      <c r="A34" s="14" t="s">
        <v>44</v>
      </c>
      <c r="G34" s="5" t="s">
        <v>90</v>
      </c>
      <c r="H34" s="6">
        <v>15890.91</v>
      </c>
      <c r="I34" s="6" t="s">
        <v>2</v>
      </c>
      <c r="J34" s="7"/>
    </row>
    <row r="35" spans="1:10" x14ac:dyDescent="0.25">
      <c r="A35" t="s">
        <v>60</v>
      </c>
      <c r="C35" t="s">
        <v>42</v>
      </c>
      <c r="G35" s="5" t="s">
        <v>91</v>
      </c>
      <c r="H35" s="6">
        <v>26915.439999999999</v>
      </c>
      <c r="I35" s="6" t="s">
        <v>2</v>
      </c>
      <c r="J35" s="7"/>
    </row>
    <row r="36" spans="1:10" x14ac:dyDescent="0.25">
      <c r="A36" t="s">
        <v>46</v>
      </c>
      <c r="C36" t="s">
        <v>16</v>
      </c>
      <c r="G36" s="5" t="s">
        <v>92</v>
      </c>
      <c r="H36" s="6">
        <v>7639.8879999999999</v>
      </c>
      <c r="I36" s="6" t="s">
        <v>2</v>
      </c>
      <c r="J36" s="7"/>
    </row>
    <row r="37" spans="1:10" x14ac:dyDescent="0.25">
      <c r="G37" s="5"/>
      <c r="H37" s="6"/>
      <c r="I37" s="6"/>
      <c r="J37" s="7"/>
    </row>
    <row r="38" spans="1:10" x14ac:dyDescent="0.25">
      <c r="A38" s="14" t="s">
        <v>34</v>
      </c>
      <c r="G38" s="16" t="s">
        <v>94</v>
      </c>
      <c r="H38" s="6"/>
      <c r="I38" s="6"/>
      <c r="J38" s="7"/>
    </row>
    <row r="39" spans="1:10" ht="15.75" thickBot="1" x14ac:dyDescent="0.3">
      <c r="A39" t="s">
        <v>35</v>
      </c>
      <c r="B39">
        <v>5835.75</v>
      </c>
      <c r="C39" t="s">
        <v>42</v>
      </c>
      <c r="D39" t="s">
        <v>74</v>
      </c>
      <c r="G39" s="8" t="s">
        <v>95</v>
      </c>
      <c r="H39" s="9">
        <v>16200</v>
      </c>
      <c r="I39" s="9" t="s">
        <v>2</v>
      </c>
      <c r="J39" s="10"/>
    </row>
    <row r="40" spans="1:10" ht="15.75" thickBot="1" x14ac:dyDescent="0.3">
      <c r="A40" t="s">
        <v>36</v>
      </c>
      <c r="C40" t="s">
        <v>42</v>
      </c>
    </row>
    <row r="41" spans="1:10" x14ac:dyDescent="0.25">
      <c r="A41" t="s">
        <v>37</v>
      </c>
      <c r="C41" t="s">
        <v>42</v>
      </c>
      <c r="G41" s="2"/>
      <c r="H41" s="17" t="s">
        <v>56</v>
      </c>
      <c r="I41" s="3"/>
      <c r="J41" s="4"/>
    </row>
    <row r="42" spans="1:10" x14ac:dyDescent="0.25">
      <c r="A42" t="s">
        <v>61</v>
      </c>
      <c r="C42" t="s">
        <v>42</v>
      </c>
      <c r="G42" s="16" t="s">
        <v>38</v>
      </c>
      <c r="H42" s="6"/>
      <c r="I42" s="6"/>
      <c r="J42" s="7"/>
    </row>
    <row r="43" spans="1:10" x14ac:dyDescent="0.25">
      <c r="G43" s="5" t="s">
        <v>31</v>
      </c>
      <c r="H43" s="6">
        <f>H10</f>
        <v>16532.099999999999</v>
      </c>
      <c r="I43" s="6" t="s">
        <v>53</v>
      </c>
      <c r="J43" s="7"/>
    </row>
    <row r="44" spans="1:10" x14ac:dyDescent="0.25">
      <c r="G44" s="5" t="s">
        <v>39</v>
      </c>
      <c r="H44" s="6">
        <v>55943</v>
      </c>
      <c r="I44" s="6" t="s">
        <v>53</v>
      </c>
      <c r="J44" s="7" t="s">
        <v>159</v>
      </c>
    </row>
    <row r="45" spans="1:10" x14ac:dyDescent="0.25">
      <c r="G45" s="5" t="s">
        <v>59</v>
      </c>
      <c r="H45" s="6">
        <v>91424.07</v>
      </c>
      <c r="I45" s="6" t="s">
        <v>53</v>
      </c>
      <c r="J45" s="7" t="s">
        <v>96</v>
      </c>
    </row>
    <row r="46" spans="1:10" x14ac:dyDescent="0.25">
      <c r="G46" s="5" t="s">
        <v>45</v>
      </c>
      <c r="H46" s="6">
        <v>7.31</v>
      </c>
      <c r="I46" s="6" t="s">
        <v>109</v>
      </c>
      <c r="J46" s="7" t="s">
        <v>160</v>
      </c>
    </row>
    <row r="47" spans="1:10" ht="17.25" x14ac:dyDescent="0.25">
      <c r="G47" s="5" t="s">
        <v>57</v>
      </c>
      <c r="H47" s="12">
        <v>10.66</v>
      </c>
      <c r="I47" s="6" t="s">
        <v>130</v>
      </c>
      <c r="J47" s="7"/>
    </row>
    <row r="48" spans="1:10" x14ac:dyDescent="0.25">
      <c r="G48" s="5" t="s">
        <v>97</v>
      </c>
      <c r="H48" s="6">
        <f>5070.90417/30/8000</f>
        <v>2.1128767374999999E-2</v>
      </c>
      <c r="I48" s="6" t="s">
        <v>82</v>
      </c>
      <c r="J48" s="7" t="s">
        <v>107</v>
      </c>
    </row>
    <row r="49" spans="7:11" x14ac:dyDescent="0.25">
      <c r="G49" s="5" t="s">
        <v>98</v>
      </c>
      <c r="H49" s="6">
        <f>214/8000</f>
        <v>2.6749999999999999E-2</v>
      </c>
      <c r="I49" s="6" t="s">
        <v>82</v>
      </c>
      <c r="J49" s="7" t="s">
        <v>100</v>
      </c>
    </row>
    <row r="50" spans="7:11" x14ac:dyDescent="0.25">
      <c r="G50" s="5" t="s">
        <v>99</v>
      </c>
      <c r="H50" s="6">
        <f>H27/8000</f>
        <v>3.0355E-2</v>
      </c>
      <c r="I50" s="6" t="s">
        <v>82</v>
      </c>
      <c r="J50" s="7" t="s">
        <v>101</v>
      </c>
    </row>
    <row r="51" spans="7:11" x14ac:dyDescent="0.25">
      <c r="G51" s="5" t="s">
        <v>89</v>
      </c>
      <c r="H51" s="6">
        <f>H39/8000</f>
        <v>2.0249999999999999</v>
      </c>
      <c r="I51" s="6" t="s">
        <v>2</v>
      </c>
      <c r="J51" s="7" t="s">
        <v>89</v>
      </c>
    </row>
    <row r="52" spans="7:11" x14ac:dyDescent="0.25">
      <c r="G52" s="5" t="s">
        <v>129</v>
      </c>
      <c r="H52" s="6">
        <v>37.791200000000003</v>
      </c>
      <c r="I52" s="6" t="s">
        <v>109</v>
      </c>
      <c r="J52" s="7" t="s">
        <v>102</v>
      </c>
    </row>
    <row r="53" spans="7:11" x14ac:dyDescent="0.25">
      <c r="G53" s="5" t="s">
        <v>103</v>
      </c>
      <c r="H53" s="6">
        <v>9.5470000000000006</v>
      </c>
      <c r="I53" s="6" t="s">
        <v>109</v>
      </c>
      <c r="J53" s="7" t="s">
        <v>104</v>
      </c>
    </row>
    <row r="54" spans="7:11" x14ac:dyDescent="0.25">
      <c r="G54" s="5" t="s">
        <v>105</v>
      </c>
      <c r="H54" s="6">
        <f>11823110/30/8000</f>
        <v>49.262958333333337</v>
      </c>
      <c r="I54" s="6" t="s">
        <v>106</v>
      </c>
      <c r="J54" s="7" t="s">
        <v>161</v>
      </c>
    </row>
    <row r="55" spans="7:11" x14ac:dyDescent="0.25">
      <c r="G55" s="5" t="s">
        <v>105</v>
      </c>
      <c r="H55" s="6">
        <f>413.84/30/8000</f>
        <v>1.7243333333333334E-3</v>
      </c>
      <c r="I55" s="6" t="s">
        <v>106</v>
      </c>
      <c r="J55" s="7" t="s">
        <v>108</v>
      </c>
    </row>
    <row r="56" spans="7:11" x14ac:dyDescent="0.25">
      <c r="G56" s="16" t="s">
        <v>44</v>
      </c>
      <c r="H56" s="6"/>
      <c r="I56" s="6"/>
      <c r="J56" s="7"/>
    </row>
    <row r="57" spans="7:11" x14ac:dyDescent="0.25">
      <c r="G57" s="5" t="s">
        <v>60</v>
      </c>
      <c r="H57" s="40">
        <v>22358</v>
      </c>
      <c r="I57" s="6" t="s">
        <v>53</v>
      </c>
      <c r="J57" s="7"/>
      <c r="K57" s="7" t="s">
        <v>111</v>
      </c>
    </row>
    <row r="58" spans="7:11" x14ac:dyDescent="0.25">
      <c r="G58" s="5" t="s">
        <v>166</v>
      </c>
      <c r="H58" s="40">
        <v>36.564999999999998</v>
      </c>
      <c r="I58" s="6" t="s">
        <v>109</v>
      </c>
      <c r="J58" s="20">
        <v>0.57718000000000003</v>
      </c>
      <c r="K58" s="7" t="s">
        <v>167</v>
      </c>
    </row>
    <row r="59" spans="7:11" x14ac:dyDescent="0.25">
      <c r="G59" s="5" t="s">
        <v>162</v>
      </c>
      <c r="H59" s="22">
        <f>'status-quo'!B9</f>
        <v>26.786000000000001</v>
      </c>
      <c r="I59" s="6" t="s">
        <v>109</v>
      </c>
      <c r="J59" s="20">
        <v>0.42281999999999997</v>
      </c>
      <c r="K59" t="s">
        <v>110</v>
      </c>
    </row>
    <row r="60" spans="7:11" x14ac:dyDescent="0.25">
      <c r="G60" s="5"/>
      <c r="H60" s="6"/>
      <c r="I60" s="6"/>
      <c r="J60" s="20"/>
    </row>
    <row r="61" spans="7:11" x14ac:dyDescent="0.25">
      <c r="G61" s="16" t="s">
        <v>184</v>
      </c>
      <c r="H61" s="6"/>
      <c r="I61" s="6"/>
      <c r="J61" s="20"/>
    </row>
    <row r="62" spans="7:11" x14ac:dyDescent="0.25">
      <c r="G62" s="5" t="s">
        <v>48</v>
      </c>
      <c r="H62" s="6">
        <v>13.9375</v>
      </c>
      <c r="I62" s="6" t="s">
        <v>53</v>
      </c>
      <c r="J62" s="7"/>
      <c r="K62" s="7" t="s">
        <v>184</v>
      </c>
    </row>
    <row r="63" spans="7:11" x14ac:dyDescent="0.25">
      <c r="G63" s="5"/>
      <c r="H63" s="6"/>
      <c r="I63" s="6"/>
      <c r="J63" s="7"/>
      <c r="K63" s="6"/>
    </row>
    <row r="64" spans="7:11" x14ac:dyDescent="0.25">
      <c r="G64" s="16" t="s">
        <v>142</v>
      </c>
      <c r="H64" s="6"/>
      <c r="I64" s="6"/>
      <c r="J64" s="7"/>
    </row>
    <row r="65" spans="7:19" x14ac:dyDescent="0.25">
      <c r="G65" s="5" t="s">
        <v>163</v>
      </c>
      <c r="H65" s="6">
        <f>H57</f>
        <v>22358</v>
      </c>
      <c r="I65" s="6" t="s">
        <v>2</v>
      </c>
      <c r="J65" s="7"/>
    </row>
    <row r="66" spans="7:19" x14ac:dyDescent="0.25">
      <c r="G66" s="5" t="s">
        <v>164</v>
      </c>
      <c r="H66" s="40">
        <v>61.85</v>
      </c>
      <c r="I66" s="6" t="s">
        <v>109</v>
      </c>
      <c r="J66" s="7" t="s">
        <v>165</v>
      </c>
    </row>
    <row r="67" spans="7:19" x14ac:dyDescent="0.25">
      <c r="G67" s="16" t="s">
        <v>181</v>
      </c>
      <c r="H67" s="6"/>
      <c r="I67" s="6"/>
      <c r="J67" s="7"/>
    </row>
    <row r="68" spans="7:19" x14ac:dyDescent="0.25">
      <c r="G68" s="5" t="s">
        <v>36</v>
      </c>
      <c r="H68" s="11">
        <v>9.3672700000000002E-5</v>
      </c>
      <c r="I68" s="6" t="s">
        <v>53</v>
      </c>
      <c r="J68" s="7"/>
    </row>
    <row r="69" spans="7:19" x14ac:dyDescent="0.25">
      <c r="G69" s="5" t="s">
        <v>35</v>
      </c>
      <c r="H69" s="6">
        <v>10778.31</v>
      </c>
      <c r="I69" s="6" t="s">
        <v>53</v>
      </c>
      <c r="J69" s="7" t="s">
        <v>168</v>
      </c>
    </row>
    <row r="70" spans="7:19" x14ac:dyDescent="0.25">
      <c r="G70" s="5" t="s">
        <v>71</v>
      </c>
      <c r="H70" s="6">
        <v>20248.439999999999</v>
      </c>
      <c r="I70" s="6" t="s">
        <v>53</v>
      </c>
      <c r="J70" s="7" t="s">
        <v>127</v>
      </c>
    </row>
    <row r="71" spans="7:19" x14ac:dyDescent="0.25">
      <c r="G71" s="32" t="s">
        <v>119</v>
      </c>
      <c r="H71" s="6">
        <v>0.32231533000000001</v>
      </c>
      <c r="I71" s="6"/>
      <c r="J71" s="7"/>
    </row>
    <row r="72" spans="7:19" x14ac:dyDescent="0.25">
      <c r="G72" s="32" t="s">
        <v>123</v>
      </c>
      <c r="H72" s="6">
        <v>73094.483761543699</v>
      </c>
      <c r="I72" s="6"/>
      <c r="J72" s="7"/>
    </row>
    <row r="73" spans="7:19" x14ac:dyDescent="0.25">
      <c r="G73" s="32" t="s">
        <v>179</v>
      </c>
      <c r="H73" s="11">
        <v>1.52425E-13</v>
      </c>
      <c r="I73" s="6"/>
      <c r="J73" s="7"/>
      <c r="R73" s="6"/>
    </row>
    <row r="74" spans="7:19" x14ac:dyDescent="0.25">
      <c r="G74" s="32" t="s">
        <v>169</v>
      </c>
      <c r="H74" s="11">
        <v>7.7350300000000004E-19</v>
      </c>
      <c r="I74" s="6"/>
      <c r="J74" s="7"/>
      <c r="N74" s="6"/>
      <c r="O74" s="6"/>
      <c r="P74" s="6"/>
      <c r="Q74" s="6"/>
      <c r="R74" s="6"/>
      <c r="S74" s="6"/>
    </row>
    <row r="75" spans="7:19" x14ac:dyDescent="0.25">
      <c r="G75" s="32" t="s">
        <v>48</v>
      </c>
      <c r="H75" s="11">
        <v>3.2017300000000002E-10</v>
      </c>
      <c r="I75" s="6"/>
      <c r="J75" s="7"/>
      <c r="N75" s="6"/>
      <c r="O75" s="6"/>
      <c r="P75" s="6"/>
      <c r="Q75" s="6"/>
      <c r="R75" s="11"/>
      <c r="S75" s="6"/>
    </row>
    <row r="76" spans="7:19" x14ac:dyDescent="0.25">
      <c r="G76" s="32" t="s">
        <v>124</v>
      </c>
      <c r="H76" s="11">
        <v>2.4576100000000001E-24</v>
      </c>
      <c r="I76" s="6"/>
      <c r="J76" s="7"/>
    </row>
    <row r="77" spans="7:19" x14ac:dyDescent="0.25">
      <c r="G77" s="32" t="s">
        <v>170</v>
      </c>
      <c r="H77" s="11">
        <v>1.15647E-45</v>
      </c>
      <c r="I77" s="6"/>
      <c r="J77" s="7"/>
    </row>
    <row r="78" spans="7:19" x14ac:dyDescent="0.25">
      <c r="G78" s="32" t="s">
        <v>173</v>
      </c>
      <c r="H78" s="11">
        <v>1.29293E-14</v>
      </c>
      <c r="I78" s="6"/>
      <c r="J78" s="7"/>
    </row>
    <row r="79" spans="7:19" x14ac:dyDescent="0.25">
      <c r="G79" s="32" t="s">
        <v>174</v>
      </c>
      <c r="H79" s="6">
        <v>7698.0069999999996</v>
      </c>
      <c r="I79" s="6"/>
      <c r="J79" s="7"/>
    </row>
    <row r="80" spans="7:19" x14ac:dyDescent="0.25">
      <c r="G80" s="32" t="s">
        <v>172</v>
      </c>
      <c r="H80" s="11">
        <v>5.3074699999999998E-23</v>
      </c>
      <c r="I80" s="6"/>
      <c r="J80" s="7"/>
    </row>
    <row r="81" spans="7:10" x14ac:dyDescent="0.25">
      <c r="G81" s="32" t="s">
        <v>171</v>
      </c>
      <c r="H81" s="11">
        <v>1.6953800000000001E-28</v>
      </c>
      <c r="I81" s="6"/>
      <c r="J81" s="7"/>
    </row>
    <row r="82" spans="7:10" x14ac:dyDescent="0.25">
      <c r="G82" s="32" t="s">
        <v>175</v>
      </c>
      <c r="H82" s="11">
        <v>7.42267E-29</v>
      </c>
      <c r="I82" s="6"/>
      <c r="J82" s="7"/>
    </row>
    <row r="83" spans="7:10" x14ac:dyDescent="0.25">
      <c r="G83" s="32" t="s">
        <v>176</v>
      </c>
      <c r="H83" s="11">
        <v>1.69168E-34</v>
      </c>
      <c r="I83" s="6"/>
      <c r="J83" s="7"/>
    </row>
    <row r="84" spans="7:10" x14ac:dyDescent="0.25">
      <c r="G84" s="32" t="s">
        <v>177</v>
      </c>
      <c r="H84" s="11">
        <v>5.64378E-22</v>
      </c>
      <c r="I84" s="6"/>
      <c r="J84" s="7"/>
    </row>
    <row r="85" spans="7:10" x14ac:dyDescent="0.25">
      <c r="G85" s="32" t="s">
        <v>178</v>
      </c>
      <c r="H85" s="11">
        <v>3.5821200000000001E-31</v>
      </c>
      <c r="I85" s="6"/>
      <c r="J85" s="7"/>
    </row>
    <row r="86" spans="7:10" x14ac:dyDescent="0.25">
      <c r="G86" s="32" t="s">
        <v>125</v>
      </c>
      <c r="H86" s="6">
        <v>113.18840419999999</v>
      </c>
      <c r="I86" s="6"/>
      <c r="J86" s="7"/>
    </row>
    <row r="87" spans="7:10" x14ac:dyDescent="0.25">
      <c r="G87" s="32" t="s">
        <v>126</v>
      </c>
      <c r="H87" s="6">
        <v>3.7446302444959998</v>
      </c>
      <c r="I87" s="6"/>
      <c r="J87" s="7"/>
    </row>
    <row r="88" spans="7:10" x14ac:dyDescent="0.25">
      <c r="G88" s="5"/>
      <c r="H88" s="6"/>
      <c r="I88" s="6"/>
      <c r="J88" s="7"/>
    </row>
    <row r="89" spans="7:10" x14ac:dyDescent="0.25">
      <c r="G89" s="16" t="s">
        <v>180</v>
      </c>
      <c r="H89" s="6"/>
      <c r="I89" s="6"/>
      <c r="J89" s="7"/>
    </row>
    <row r="90" spans="7:10" x14ac:dyDescent="0.25">
      <c r="G90" s="32" t="s">
        <v>35</v>
      </c>
      <c r="H90" s="11">
        <v>1.1E-20</v>
      </c>
      <c r="I90" s="6"/>
      <c r="J90" s="7"/>
    </row>
    <row r="91" spans="7:10" x14ac:dyDescent="0.25">
      <c r="G91" s="32" t="s">
        <v>33</v>
      </c>
      <c r="H91" s="11">
        <v>5.3000000000000001E-31</v>
      </c>
      <c r="I91" s="6"/>
      <c r="J91" s="7"/>
    </row>
    <row r="92" spans="7:10" x14ac:dyDescent="0.25">
      <c r="G92" s="32" t="s">
        <v>179</v>
      </c>
      <c r="H92" s="11">
        <v>2.5883309999999998E-22</v>
      </c>
      <c r="I92" s="6"/>
      <c r="J92" s="7"/>
    </row>
    <row r="93" spans="7:10" x14ac:dyDescent="0.25">
      <c r="G93" s="32" t="s">
        <v>169</v>
      </c>
      <c r="H93" s="11">
        <v>5.3359999999999999E-23</v>
      </c>
      <c r="I93" s="6"/>
      <c r="J93" s="7"/>
    </row>
    <row r="94" spans="7:10" x14ac:dyDescent="0.25">
      <c r="G94" s="32" t="s">
        <v>48</v>
      </c>
      <c r="H94" s="11">
        <v>7.6771100000000003E-18</v>
      </c>
      <c r="I94" s="6"/>
      <c r="J94" s="7"/>
    </row>
    <row r="95" spans="7:10" x14ac:dyDescent="0.25">
      <c r="G95" s="32" t="s">
        <v>117</v>
      </c>
      <c r="H95" s="6">
        <v>2.6505799999999999E-2</v>
      </c>
      <c r="I95" s="6"/>
      <c r="J95" s="7"/>
    </row>
    <row r="96" spans="7:10" x14ac:dyDescent="0.25">
      <c r="G96" s="32" t="s">
        <v>115</v>
      </c>
      <c r="H96" s="11">
        <v>7.2349999999999997E-21</v>
      </c>
      <c r="I96" s="6"/>
      <c r="J96" s="7"/>
    </row>
    <row r="97" spans="7:10" x14ac:dyDescent="0.25">
      <c r="G97" s="32" t="s">
        <v>114</v>
      </c>
      <c r="H97" s="11">
        <v>7.9870000000000003E-19</v>
      </c>
      <c r="I97" s="6"/>
      <c r="J97" s="7"/>
    </row>
    <row r="98" spans="7:10" x14ac:dyDescent="0.25">
      <c r="G98" s="32" t="s">
        <v>118</v>
      </c>
      <c r="H98" s="11">
        <v>1.66E-5</v>
      </c>
      <c r="I98" s="6"/>
      <c r="J98" s="7"/>
    </row>
    <row r="99" spans="7:10" ht="15.75" thickBot="1" x14ac:dyDescent="0.3">
      <c r="G99" s="33" t="s">
        <v>116</v>
      </c>
      <c r="H99" s="37">
        <v>1.06303E-7</v>
      </c>
      <c r="I99" s="9"/>
      <c r="J99" s="10"/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"/>
  <sheetViews>
    <sheetView tabSelected="1" topLeftCell="I1" workbookViewId="0">
      <selection activeCell="Q11" sqref="Q11"/>
    </sheetView>
  </sheetViews>
  <sheetFormatPr defaultRowHeight="15" x14ac:dyDescent="0.25"/>
  <cols>
    <col min="3" max="3" width="13.7109375" bestFit="1" customWidth="1"/>
    <col min="5" max="5" width="9.28515625" bestFit="1" customWidth="1"/>
    <col min="7" max="7" width="15.85546875" customWidth="1"/>
    <col min="8" max="8" width="13.7109375" bestFit="1" customWidth="1"/>
    <col min="9" max="9" width="15.7109375" bestFit="1" customWidth="1"/>
    <col min="10" max="10" width="9.28515625" bestFit="1" customWidth="1"/>
    <col min="12" max="12" width="15" customWidth="1"/>
    <col min="13" max="13" width="12.5703125" bestFit="1" customWidth="1"/>
    <col min="15" max="15" width="9.28515625" bestFit="1" customWidth="1"/>
    <col min="17" max="17" width="45.85546875" bestFit="1" customWidth="1"/>
    <col min="18" max="18" width="14.7109375" style="13" bestFit="1" customWidth="1"/>
    <col min="19" max="19" width="13.5703125" style="13" customWidth="1"/>
    <col min="20" max="20" width="13.7109375" style="13" bestFit="1" customWidth="1"/>
    <col min="23" max="23" width="45.85546875" bestFit="1" customWidth="1"/>
    <col min="26" max="26" width="12" bestFit="1" customWidth="1"/>
  </cols>
  <sheetData>
    <row r="1" spans="1:27" ht="15.75" thickBot="1" x14ac:dyDescent="0.3">
      <c r="A1" s="41"/>
      <c r="B1" s="41"/>
      <c r="C1" s="41"/>
      <c r="D1" s="41"/>
      <c r="E1" s="41"/>
      <c r="F1" s="41"/>
      <c r="G1" s="42"/>
      <c r="H1" s="43" t="s">
        <v>55</v>
      </c>
      <c r="I1" s="44"/>
      <c r="J1" s="45"/>
      <c r="K1" s="41"/>
      <c r="L1" s="42"/>
      <c r="M1" s="46" t="s">
        <v>75</v>
      </c>
      <c r="N1" s="44"/>
      <c r="O1" s="45"/>
      <c r="P1" s="41"/>
      <c r="Q1" s="79" t="s">
        <v>211</v>
      </c>
      <c r="R1" s="65" t="s">
        <v>187</v>
      </c>
      <c r="S1" s="65" t="s">
        <v>1</v>
      </c>
      <c r="T1" s="65" t="s">
        <v>188</v>
      </c>
      <c r="U1" s="67" t="s">
        <v>112</v>
      </c>
      <c r="W1" s="79" t="s">
        <v>210</v>
      </c>
      <c r="X1" s="65" t="s">
        <v>187</v>
      </c>
      <c r="Y1" s="65" t="s">
        <v>1</v>
      </c>
      <c r="Z1" s="65" t="s">
        <v>188</v>
      </c>
      <c r="AA1" s="67" t="s">
        <v>112</v>
      </c>
    </row>
    <row r="2" spans="1:27" x14ac:dyDescent="0.25">
      <c r="A2" s="41"/>
      <c r="B2" s="42"/>
      <c r="C2" s="43" t="s">
        <v>0</v>
      </c>
      <c r="D2" s="44"/>
      <c r="E2" s="47" t="s">
        <v>64</v>
      </c>
      <c r="F2" s="41"/>
      <c r="G2" s="48" t="s">
        <v>38</v>
      </c>
      <c r="H2" s="49"/>
      <c r="I2" s="49"/>
      <c r="J2" s="50"/>
      <c r="K2" s="41"/>
      <c r="L2" s="48" t="s">
        <v>38</v>
      </c>
      <c r="M2" s="49"/>
      <c r="N2" s="49"/>
      <c r="O2" s="50"/>
      <c r="P2" s="41"/>
      <c r="Q2" s="68" t="s">
        <v>38</v>
      </c>
      <c r="R2" s="27"/>
      <c r="S2" s="27"/>
      <c r="T2" s="27"/>
      <c r="U2" s="69"/>
      <c r="W2" s="68" t="s">
        <v>38</v>
      </c>
      <c r="X2" s="6"/>
      <c r="Y2" s="6"/>
      <c r="Z2" s="6"/>
      <c r="AA2" s="7"/>
    </row>
    <row r="3" spans="1:27" x14ac:dyDescent="0.25">
      <c r="A3" s="41"/>
      <c r="B3" s="48" t="s">
        <v>38</v>
      </c>
      <c r="C3" s="49"/>
      <c r="D3" s="49"/>
      <c r="E3" s="50"/>
      <c r="F3" s="41"/>
      <c r="G3" s="51" t="s">
        <v>32</v>
      </c>
      <c r="H3" s="49">
        <v>16723.400000000001</v>
      </c>
      <c r="I3" s="49" t="s">
        <v>53</v>
      </c>
      <c r="J3" s="50"/>
      <c r="K3" s="41"/>
      <c r="L3" s="51" t="s">
        <v>32</v>
      </c>
      <c r="M3" s="49">
        <v>16723.400000000001</v>
      </c>
      <c r="N3" s="49" t="s">
        <v>53</v>
      </c>
      <c r="O3" s="50"/>
      <c r="P3" s="41"/>
      <c r="Q3" s="70" t="s">
        <v>32</v>
      </c>
      <c r="R3" s="27">
        <f>C4</f>
        <v>16723.400000000001</v>
      </c>
      <c r="S3" s="27">
        <f>H3</f>
        <v>16723.400000000001</v>
      </c>
      <c r="T3" s="27">
        <f>M3</f>
        <v>16723.400000000001</v>
      </c>
      <c r="U3" s="69" t="s">
        <v>2</v>
      </c>
      <c r="W3" s="70" t="s">
        <v>32</v>
      </c>
      <c r="X3" s="6">
        <f t="shared" ref="X3:X16" si="0">R3/R$19</f>
        <v>624.3336071081909</v>
      </c>
      <c r="Y3" s="6">
        <f t="shared" ref="Y3:Y16" si="1">S3/S$19</f>
        <v>624.3336071081909</v>
      </c>
      <c r="Z3" s="6">
        <f t="shared" ref="Z3:Z27" si="2">T3/T$30</f>
        <v>624.3336071081909</v>
      </c>
      <c r="AA3" s="69" t="s">
        <v>2</v>
      </c>
    </row>
    <row r="4" spans="1:27" x14ac:dyDescent="0.25">
      <c r="A4" s="41"/>
      <c r="B4" s="51" t="s">
        <v>32</v>
      </c>
      <c r="C4" s="49">
        <v>16723.400000000001</v>
      </c>
      <c r="D4" s="49" t="s">
        <v>53</v>
      </c>
      <c r="E4" s="50"/>
      <c r="F4" s="41"/>
      <c r="G4" s="51" t="s">
        <v>192</v>
      </c>
      <c r="H4" s="49">
        <v>3.5606300000000002</v>
      </c>
      <c r="I4" s="49" t="s">
        <v>109</v>
      </c>
      <c r="J4" s="50" t="s">
        <v>185</v>
      </c>
      <c r="K4" s="41"/>
      <c r="L4" s="51" t="s">
        <v>60</v>
      </c>
      <c r="M4" s="49">
        <v>11.23</v>
      </c>
      <c r="N4" s="49" t="s">
        <v>53</v>
      </c>
      <c r="O4" s="50" t="s">
        <v>156</v>
      </c>
      <c r="P4" s="41"/>
      <c r="Q4" s="70" t="s">
        <v>39</v>
      </c>
      <c r="R4" s="27">
        <v>0</v>
      </c>
      <c r="S4" s="27">
        <v>0</v>
      </c>
      <c r="T4" s="27">
        <f>M44</f>
        <v>55943</v>
      </c>
      <c r="U4" s="69" t="s">
        <v>2</v>
      </c>
      <c r="W4" s="70" t="s">
        <v>39</v>
      </c>
      <c r="X4" s="6">
        <f t="shared" si="0"/>
        <v>0</v>
      </c>
      <c r="Y4" s="6">
        <f t="shared" si="1"/>
        <v>0</v>
      </c>
      <c r="Z4" s="6">
        <f t="shared" si="2"/>
        <v>2088.5163891585157</v>
      </c>
      <c r="AA4" s="69" t="s">
        <v>2</v>
      </c>
    </row>
    <row r="5" spans="1:27" ht="17.25" x14ac:dyDescent="0.25">
      <c r="A5" s="41"/>
      <c r="B5" s="52"/>
      <c r="C5" s="53"/>
      <c r="D5" s="49"/>
      <c r="E5" s="50"/>
      <c r="F5" s="41"/>
      <c r="G5" s="51" t="s">
        <v>49</v>
      </c>
      <c r="H5" s="49">
        <v>0.157474</v>
      </c>
      <c r="I5" s="49" t="s">
        <v>130</v>
      </c>
      <c r="J5" s="50" t="s">
        <v>72</v>
      </c>
      <c r="K5" s="41"/>
      <c r="L5" s="51" t="s">
        <v>157</v>
      </c>
      <c r="M5" s="49">
        <v>1091.25</v>
      </c>
      <c r="N5" s="49" t="s">
        <v>120</v>
      </c>
      <c r="O5" s="50" t="s">
        <v>78</v>
      </c>
      <c r="P5" s="41"/>
      <c r="Q5" s="70" t="s">
        <v>40</v>
      </c>
      <c r="R5" s="27">
        <f>C6</f>
        <v>476560</v>
      </c>
      <c r="S5" s="27">
        <f>H21</f>
        <v>476560</v>
      </c>
      <c r="T5" s="27">
        <f>M45</f>
        <v>91424.07</v>
      </c>
      <c r="U5" s="69" t="s">
        <v>2</v>
      </c>
      <c r="W5" s="70" t="s">
        <v>40</v>
      </c>
      <c r="X5" s="6">
        <f t="shared" si="0"/>
        <v>17791.383558575373</v>
      </c>
      <c r="Y5" s="6">
        <f t="shared" si="1"/>
        <v>17791.383558575373</v>
      </c>
      <c r="Z5" s="6">
        <f t="shared" si="2"/>
        <v>3413.1288732920184</v>
      </c>
      <c r="AA5" s="69" t="s">
        <v>2</v>
      </c>
    </row>
    <row r="6" spans="1:27" x14ac:dyDescent="0.25">
      <c r="A6" s="41"/>
      <c r="B6" s="51" t="s">
        <v>40</v>
      </c>
      <c r="C6" s="49">
        <v>476560</v>
      </c>
      <c r="D6" s="49" t="s">
        <v>53</v>
      </c>
      <c r="E6" s="50"/>
      <c r="F6" s="41"/>
      <c r="G6" s="51" t="s">
        <v>47</v>
      </c>
      <c r="H6" s="49">
        <v>0.11547660999999999</v>
      </c>
      <c r="I6" s="49" t="s">
        <v>53</v>
      </c>
      <c r="J6" s="50" t="s">
        <v>135</v>
      </c>
      <c r="K6" s="41"/>
      <c r="L6" s="51" t="s">
        <v>76</v>
      </c>
      <c r="M6" s="49">
        <v>1.72</v>
      </c>
      <c r="N6" s="49" t="s">
        <v>109</v>
      </c>
      <c r="O6" s="50" t="s">
        <v>79</v>
      </c>
      <c r="P6" s="41"/>
      <c r="Q6" s="70" t="s">
        <v>196</v>
      </c>
      <c r="R6" s="27">
        <f>C7</f>
        <v>109.71</v>
      </c>
      <c r="S6" s="27">
        <f>H22</f>
        <v>109.71</v>
      </c>
      <c r="T6" s="27">
        <v>0</v>
      </c>
      <c r="U6" s="69" t="s">
        <v>120</v>
      </c>
      <c r="W6" s="70" t="s">
        <v>196</v>
      </c>
      <c r="X6" s="6">
        <f t="shared" si="0"/>
        <v>4.0957963115060103</v>
      </c>
      <c r="Y6" s="6">
        <f t="shared" si="1"/>
        <v>4.0957963115060103</v>
      </c>
      <c r="Z6" s="6">
        <f t="shared" si="2"/>
        <v>0</v>
      </c>
      <c r="AA6" s="69" t="s">
        <v>120</v>
      </c>
    </row>
    <row r="7" spans="1:27" ht="17.25" x14ac:dyDescent="0.25">
      <c r="A7" s="41"/>
      <c r="B7" s="51" t="s">
        <v>41</v>
      </c>
      <c r="C7" s="49">
        <v>109.71</v>
      </c>
      <c r="D7" s="49" t="s">
        <v>130</v>
      </c>
      <c r="E7" s="50"/>
      <c r="F7" s="41"/>
      <c r="G7" s="51" t="s">
        <v>73</v>
      </c>
      <c r="H7" s="49">
        <v>629</v>
      </c>
      <c r="I7" s="49" t="s">
        <v>120</v>
      </c>
      <c r="J7" s="50" t="s">
        <v>128</v>
      </c>
      <c r="K7" s="41"/>
      <c r="L7" s="51" t="s">
        <v>77</v>
      </c>
      <c r="M7" s="49">
        <v>1.66343</v>
      </c>
      <c r="N7" s="49" t="s">
        <v>109</v>
      </c>
      <c r="O7" s="50" t="s">
        <v>80</v>
      </c>
      <c r="P7" s="41"/>
      <c r="Q7" s="70" t="s">
        <v>186</v>
      </c>
      <c r="R7" s="27">
        <v>0</v>
      </c>
      <c r="S7" s="27">
        <v>0</v>
      </c>
      <c r="T7" s="27">
        <f>M6+M46+M103</f>
        <v>35.816000000000003</v>
      </c>
      <c r="U7" s="69" t="s">
        <v>109</v>
      </c>
      <c r="W7" s="70" t="s">
        <v>186</v>
      </c>
      <c r="X7" s="6">
        <f t="shared" si="0"/>
        <v>0</v>
      </c>
      <c r="Y7" s="6">
        <f t="shared" si="1"/>
        <v>0</v>
      </c>
      <c r="Z7" s="6">
        <f t="shared" si="2"/>
        <v>1.3371164040916896</v>
      </c>
      <c r="AA7" s="69" t="s">
        <v>62</v>
      </c>
    </row>
    <row r="8" spans="1:27" x14ac:dyDescent="0.25">
      <c r="A8" s="41"/>
      <c r="B8" s="51"/>
      <c r="C8" s="49"/>
      <c r="D8" s="49"/>
      <c r="E8" s="50"/>
      <c r="F8" s="41"/>
      <c r="G8" s="51"/>
      <c r="H8" s="49"/>
      <c r="I8" s="49"/>
      <c r="J8" s="50"/>
      <c r="K8" s="41"/>
      <c r="L8" s="51"/>
      <c r="M8" s="49"/>
      <c r="N8" s="49"/>
      <c r="O8" s="50"/>
      <c r="P8" s="41"/>
      <c r="Q8" s="70" t="s">
        <v>192</v>
      </c>
      <c r="R8" s="27">
        <v>0</v>
      </c>
      <c r="S8" s="27">
        <f>H4</f>
        <v>3.5606300000000002</v>
      </c>
      <c r="T8" s="27">
        <v>23.036000000000001</v>
      </c>
      <c r="U8" s="69" t="s">
        <v>109</v>
      </c>
      <c r="W8" s="70" t="s">
        <v>192</v>
      </c>
      <c r="X8" s="6">
        <f t="shared" si="0"/>
        <v>0</v>
      </c>
      <c r="Y8" s="6">
        <f t="shared" si="1"/>
        <v>0.13292876875979989</v>
      </c>
      <c r="Z8" s="6">
        <f t="shared" si="2"/>
        <v>0.86000149331740461</v>
      </c>
      <c r="AA8" s="69" t="s">
        <v>62</v>
      </c>
    </row>
    <row r="9" spans="1:27" x14ac:dyDescent="0.25">
      <c r="A9" s="41"/>
      <c r="B9" s="48" t="s">
        <v>44</v>
      </c>
      <c r="C9" s="49"/>
      <c r="D9" s="49"/>
      <c r="E9" s="50"/>
      <c r="F9" s="41"/>
      <c r="G9" s="48" t="s">
        <v>44</v>
      </c>
      <c r="H9" s="49"/>
      <c r="I9" s="49"/>
      <c r="J9" s="50"/>
      <c r="K9" s="41"/>
      <c r="L9" s="48" t="s">
        <v>44</v>
      </c>
      <c r="M9" s="49"/>
      <c r="N9" s="49"/>
      <c r="O9" s="50"/>
      <c r="P9" s="41"/>
      <c r="Q9" s="70" t="s">
        <v>189</v>
      </c>
      <c r="R9" s="27">
        <v>0</v>
      </c>
      <c r="S9" s="27">
        <f>H5</f>
        <v>0.157474</v>
      </c>
      <c r="T9" s="27">
        <v>0</v>
      </c>
      <c r="U9" s="69" t="s">
        <v>120</v>
      </c>
      <c r="W9" s="70" t="s">
        <v>189</v>
      </c>
      <c r="X9" s="6">
        <f t="shared" si="0"/>
        <v>0</v>
      </c>
      <c r="Y9" s="6">
        <f t="shared" si="1"/>
        <v>5.8789666243560064E-3</v>
      </c>
      <c r="Z9" s="6">
        <f t="shared" si="2"/>
        <v>0</v>
      </c>
      <c r="AA9" s="69" t="s">
        <v>120</v>
      </c>
    </row>
    <row r="10" spans="1:27" x14ac:dyDescent="0.25">
      <c r="A10" s="41"/>
      <c r="B10" s="51" t="s">
        <v>45</v>
      </c>
      <c r="C10" s="49">
        <v>26.786000000000001</v>
      </c>
      <c r="D10" s="49" t="s">
        <v>62</v>
      </c>
      <c r="E10" s="50">
        <v>0.42281999999999997</v>
      </c>
      <c r="F10" s="41"/>
      <c r="G10" s="51" t="s">
        <v>31</v>
      </c>
      <c r="H10" s="49">
        <v>16435.099999999999</v>
      </c>
      <c r="I10" s="49" t="s">
        <v>2</v>
      </c>
      <c r="J10" s="50">
        <v>1</v>
      </c>
      <c r="K10" s="41"/>
      <c r="L10" s="51" t="s">
        <v>31</v>
      </c>
      <c r="M10" s="49">
        <v>16532.099999999999</v>
      </c>
      <c r="N10" s="49" t="s">
        <v>53</v>
      </c>
      <c r="O10" s="50">
        <v>1</v>
      </c>
      <c r="P10" s="41"/>
      <c r="Q10" s="70" t="s">
        <v>73</v>
      </c>
      <c r="R10" s="27">
        <v>0</v>
      </c>
      <c r="S10" s="27">
        <f>H7</f>
        <v>629</v>
      </c>
      <c r="T10" s="27">
        <f>M5</f>
        <v>1091.25</v>
      </c>
      <c r="U10" s="69" t="s">
        <v>109</v>
      </c>
      <c r="W10" s="70" t="s">
        <v>73</v>
      </c>
      <c r="X10" s="6">
        <f t="shared" si="0"/>
        <v>0</v>
      </c>
      <c r="Y10" s="6">
        <f t="shared" si="1"/>
        <v>23.482416187560666</v>
      </c>
      <c r="Z10" s="6">
        <f t="shared" si="2"/>
        <v>40.739565444635254</v>
      </c>
      <c r="AA10" s="69" t="s">
        <v>62</v>
      </c>
    </row>
    <row r="11" spans="1:27" x14ac:dyDescent="0.25">
      <c r="A11" s="41"/>
      <c r="B11" s="51"/>
      <c r="C11" s="49"/>
      <c r="D11" s="49"/>
      <c r="E11" s="50"/>
      <c r="F11" s="41"/>
      <c r="G11" s="51"/>
      <c r="H11" s="49"/>
      <c r="I11" s="49"/>
      <c r="J11" s="50"/>
      <c r="K11" s="41"/>
      <c r="L11" s="48" t="s">
        <v>184</v>
      </c>
      <c r="M11" s="49"/>
      <c r="N11" s="49"/>
      <c r="O11" s="50"/>
      <c r="P11" s="41"/>
      <c r="Q11" s="70" t="s">
        <v>190</v>
      </c>
      <c r="R11" s="27">
        <v>0</v>
      </c>
      <c r="S11" s="27">
        <f>0</f>
        <v>0</v>
      </c>
      <c r="T11" s="27">
        <f>M4</f>
        <v>11.23</v>
      </c>
      <c r="U11" s="69" t="s">
        <v>2</v>
      </c>
      <c r="W11" s="70" t="s">
        <v>190</v>
      </c>
      <c r="X11" s="6">
        <f t="shared" si="0"/>
        <v>0</v>
      </c>
      <c r="Y11" s="6">
        <f t="shared" si="1"/>
        <v>0</v>
      </c>
      <c r="Z11" s="6">
        <f t="shared" si="2"/>
        <v>0.41924886134547895</v>
      </c>
      <c r="AA11" s="69" t="s">
        <v>2</v>
      </c>
    </row>
    <row r="12" spans="1:27" x14ac:dyDescent="0.25">
      <c r="A12" s="41"/>
      <c r="B12" s="48" t="s">
        <v>43</v>
      </c>
      <c r="C12" s="49"/>
      <c r="D12" s="49"/>
      <c r="E12" s="50"/>
      <c r="F12" s="41"/>
      <c r="G12" s="48" t="s">
        <v>142</v>
      </c>
      <c r="H12" s="49"/>
      <c r="I12" s="49"/>
      <c r="J12" s="50"/>
      <c r="K12" s="41"/>
      <c r="L12" s="51" t="s">
        <v>48</v>
      </c>
      <c r="M12" s="49">
        <v>191.31800000000001</v>
      </c>
      <c r="N12" s="49" t="s">
        <v>53</v>
      </c>
      <c r="O12" s="50"/>
      <c r="P12" s="41"/>
      <c r="Q12" s="70" t="s">
        <v>77</v>
      </c>
      <c r="R12" s="27">
        <v>0</v>
      </c>
      <c r="S12" s="27">
        <v>0</v>
      </c>
      <c r="T12" s="27">
        <f>M7</f>
        <v>1.66343</v>
      </c>
      <c r="U12" s="69" t="s">
        <v>109</v>
      </c>
      <c r="W12" s="70" t="s">
        <v>77</v>
      </c>
      <c r="X12" s="6">
        <f t="shared" si="0"/>
        <v>0</v>
      </c>
      <c r="Y12" s="6">
        <f t="shared" si="1"/>
        <v>0</v>
      </c>
      <c r="Z12" s="6">
        <f t="shared" si="2"/>
        <v>6.2100724258941233E-2</v>
      </c>
      <c r="AA12" s="69" t="s">
        <v>109</v>
      </c>
    </row>
    <row r="13" spans="1:27" x14ac:dyDescent="0.25">
      <c r="A13" s="41"/>
      <c r="B13" s="51" t="s">
        <v>65</v>
      </c>
      <c r="C13" s="49">
        <v>26645.319</v>
      </c>
      <c r="D13" s="49" t="s">
        <v>53</v>
      </c>
      <c r="E13" s="50" t="s">
        <v>132</v>
      </c>
      <c r="F13" s="41"/>
      <c r="G13" s="54" t="s">
        <v>137</v>
      </c>
      <c r="H13" s="49">
        <f>35560/3600</f>
        <v>9.8777777777777782</v>
      </c>
      <c r="I13" s="55" t="s">
        <v>109</v>
      </c>
      <c r="J13" s="50" t="s">
        <v>138</v>
      </c>
      <c r="K13" s="41"/>
      <c r="L13" s="51"/>
      <c r="M13" s="49"/>
      <c r="N13" s="49"/>
      <c r="O13" s="50"/>
      <c r="P13" s="41"/>
      <c r="Q13" s="70" t="s">
        <v>113</v>
      </c>
      <c r="R13" s="27">
        <v>0</v>
      </c>
      <c r="S13" s="27">
        <f>H23</f>
        <v>9.4492999999999991</v>
      </c>
      <c r="T13" s="27">
        <v>21.129000000000001</v>
      </c>
      <c r="U13" s="69" t="s">
        <v>2</v>
      </c>
      <c r="W13" s="70" t="s">
        <v>113</v>
      </c>
      <c r="X13" s="6">
        <f t="shared" si="0"/>
        <v>0</v>
      </c>
      <c r="Y13" s="6">
        <f t="shared" si="1"/>
        <v>0.35277010378555956</v>
      </c>
      <c r="Z13" s="6">
        <f t="shared" si="2"/>
        <v>0.78880758605241541</v>
      </c>
      <c r="AA13" s="69" t="s">
        <v>2</v>
      </c>
    </row>
    <row r="14" spans="1:27" ht="15.75" thickBot="1" x14ac:dyDescent="0.3">
      <c r="A14" s="41"/>
      <c r="B14" s="56" t="s">
        <v>36</v>
      </c>
      <c r="C14" s="57">
        <v>366.6</v>
      </c>
      <c r="D14" s="57" t="s">
        <v>53</v>
      </c>
      <c r="E14" s="58" t="s">
        <v>68</v>
      </c>
      <c r="F14" s="41"/>
      <c r="G14" s="48" t="s">
        <v>184</v>
      </c>
      <c r="H14" s="49"/>
      <c r="I14" s="55"/>
      <c r="J14" s="50"/>
      <c r="K14" s="41"/>
      <c r="L14" s="48" t="s">
        <v>142</v>
      </c>
      <c r="M14" s="49"/>
      <c r="N14" s="49"/>
      <c r="O14" s="50"/>
      <c r="P14" s="41"/>
      <c r="Q14" s="70" t="s">
        <v>201</v>
      </c>
      <c r="R14" s="27">
        <v>0</v>
      </c>
      <c r="S14" s="27">
        <f>H24</f>
        <v>14.112</v>
      </c>
      <c r="T14" s="27">
        <f>M54</f>
        <v>31.528300000000002</v>
      </c>
      <c r="U14" s="69" t="s">
        <v>106</v>
      </c>
      <c r="W14" s="70" t="s">
        <v>201</v>
      </c>
      <c r="X14" s="6">
        <f t="shared" si="0"/>
        <v>0</v>
      </c>
      <c r="Y14" s="6">
        <f t="shared" si="1"/>
        <v>0.52684238034794295</v>
      </c>
      <c r="Z14" s="6">
        <f t="shared" si="2"/>
        <v>1.1770439781975659</v>
      </c>
      <c r="AA14" s="69" t="s">
        <v>106</v>
      </c>
    </row>
    <row r="15" spans="1:27" ht="15.75" thickBot="1" x14ac:dyDescent="0.3">
      <c r="A15" s="41"/>
      <c r="B15" s="51"/>
      <c r="C15" s="49"/>
      <c r="D15" s="49"/>
      <c r="E15" s="49"/>
      <c r="F15" s="41"/>
      <c r="G15" s="56" t="s">
        <v>48</v>
      </c>
      <c r="H15" s="57">
        <v>185.232</v>
      </c>
      <c r="I15" s="57" t="s">
        <v>2</v>
      </c>
      <c r="J15" s="58" t="s">
        <v>139</v>
      </c>
      <c r="K15" s="41"/>
      <c r="L15" s="56" t="s">
        <v>158</v>
      </c>
      <c r="M15" s="57">
        <v>17.417000000000002</v>
      </c>
      <c r="N15" s="57" t="s">
        <v>109</v>
      </c>
      <c r="O15" s="58"/>
      <c r="P15" s="41"/>
      <c r="Q15" s="70" t="s">
        <v>202</v>
      </c>
      <c r="R15" s="27">
        <v>0</v>
      </c>
      <c r="S15" s="27">
        <v>0</v>
      </c>
      <c r="T15" s="27">
        <f>M55</f>
        <v>1.1034E-3</v>
      </c>
      <c r="U15" s="69"/>
      <c r="W15" s="70" t="s">
        <v>202</v>
      </c>
      <c r="X15" s="6">
        <f t="shared" si="0"/>
        <v>0</v>
      </c>
      <c r="Y15" s="6">
        <f t="shared" si="1"/>
        <v>0</v>
      </c>
      <c r="Z15" s="6">
        <f t="shared" si="2"/>
        <v>4.1193160606286866E-5</v>
      </c>
      <c r="AA15" s="69"/>
    </row>
    <row r="16" spans="1:27" ht="15.75" thickBot="1" x14ac:dyDescent="0.3">
      <c r="A16" s="41"/>
      <c r="B16" s="51"/>
      <c r="C16" s="49"/>
      <c r="D16" s="49"/>
      <c r="E16" s="49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70" t="s">
        <v>195</v>
      </c>
      <c r="R16" s="27">
        <v>0</v>
      </c>
      <c r="S16" s="27">
        <v>0</v>
      </c>
      <c r="T16" s="27">
        <f>M47</f>
        <v>10.66</v>
      </c>
      <c r="U16" s="69" t="s">
        <v>120</v>
      </c>
      <c r="W16" s="70" t="s">
        <v>195</v>
      </c>
      <c r="X16" s="6">
        <f t="shared" si="0"/>
        <v>0</v>
      </c>
      <c r="Y16" s="6">
        <f t="shared" si="1"/>
        <v>0</v>
      </c>
      <c r="Z16" s="6">
        <f t="shared" si="2"/>
        <v>0.39796908832972444</v>
      </c>
      <c r="AA16" s="69" t="s">
        <v>120</v>
      </c>
    </row>
    <row r="17" spans="1:27" ht="15.75" thickBot="1" x14ac:dyDescent="0.3">
      <c r="A17" s="41"/>
      <c r="B17" s="51"/>
      <c r="C17" s="49"/>
      <c r="D17" s="49"/>
      <c r="E17" s="49"/>
      <c r="F17" s="41"/>
      <c r="G17" s="42"/>
      <c r="H17" s="44"/>
      <c r="I17" s="44"/>
      <c r="J17" s="44"/>
      <c r="K17" s="41"/>
      <c r="L17" s="42"/>
      <c r="M17" s="43" t="s">
        <v>88</v>
      </c>
      <c r="N17" s="44"/>
      <c r="O17" s="45"/>
      <c r="P17" s="41"/>
      <c r="Q17" s="72" t="s">
        <v>209</v>
      </c>
      <c r="T17" s="13">
        <v>361.15</v>
      </c>
      <c r="U17" s="76" t="s">
        <v>120</v>
      </c>
      <c r="W17" s="72" t="s">
        <v>209</v>
      </c>
      <c r="X17" s="13">
        <f>R17</f>
        <v>0</v>
      </c>
      <c r="Y17" s="13">
        <f>S17</f>
        <v>0</v>
      </c>
      <c r="Z17" s="6">
        <f t="shared" si="2"/>
        <v>13.482789516911819</v>
      </c>
      <c r="AA17" s="76" t="s">
        <v>120</v>
      </c>
    </row>
    <row r="18" spans="1:27" x14ac:dyDescent="0.25">
      <c r="A18" s="41"/>
      <c r="B18" s="42"/>
      <c r="C18" s="46" t="s">
        <v>133</v>
      </c>
      <c r="D18" s="44"/>
      <c r="E18" s="45"/>
      <c r="F18" s="41"/>
      <c r="G18" s="42"/>
      <c r="H18" s="43" t="s">
        <v>1</v>
      </c>
      <c r="I18" s="59"/>
      <c r="J18" s="45"/>
      <c r="K18" s="41"/>
      <c r="L18" s="48" t="s">
        <v>38</v>
      </c>
      <c r="M18" s="49"/>
      <c r="N18" s="49"/>
      <c r="O18" s="50"/>
      <c r="P18" s="41"/>
      <c r="Q18" s="68" t="s">
        <v>87</v>
      </c>
      <c r="R18" s="27"/>
      <c r="S18" s="27"/>
      <c r="T18" s="27"/>
      <c r="U18" s="69"/>
      <c r="W18" s="68" t="s">
        <v>87</v>
      </c>
      <c r="X18" s="6">
        <f t="shared" ref="X18:X27" si="3">R18/R$19</f>
        <v>0</v>
      </c>
      <c r="Y18" s="6">
        <f t="shared" ref="Y18:Y27" si="4">S18/S$19</f>
        <v>0</v>
      </c>
      <c r="Z18" s="6">
        <f t="shared" si="2"/>
        <v>0</v>
      </c>
      <c r="AA18" s="69"/>
    </row>
    <row r="19" spans="1:27" x14ac:dyDescent="0.25">
      <c r="A19" s="41"/>
      <c r="B19" s="48" t="s">
        <v>38</v>
      </c>
      <c r="C19" s="49"/>
      <c r="D19" s="49"/>
      <c r="E19" s="50"/>
      <c r="F19" s="41"/>
      <c r="G19" s="48" t="s">
        <v>38</v>
      </c>
      <c r="H19" s="49"/>
      <c r="I19" s="49"/>
      <c r="J19" s="50"/>
      <c r="K19" s="41"/>
      <c r="L19" s="51" t="s">
        <v>83</v>
      </c>
      <c r="M19" s="49">
        <v>59.8</v>
      </c>
      <c r="N19" s="49" t="s">
        <v>82</v>
      </c>
      <c r="O19" s="50"/>
      <c r="P19" s="41"/>
      <c r="Q19" s="70" t="s">
        <v>193</v>
      </c>
      <c r="R19" s="27">
        <f>C10</f>
        <v>26.786000000000001</v>
      </c>
      <c r="S19" s="27">
        <f>H27</f>
        <v>26.786000000000001</v>
      </c>
      <c r="T19" s="27">
        <v>0</v>
      </c>
      <c r="U19" s="69" t="s">
        <v>109</v>
      </c>
      <c r="W19" s="70" t="s">
        <v>193</v>
      </c>
      <c r="X19" s="6">
        <f t="shared" si="3"/>
        <v>1</v>
      </c>
      <c r="Y19" s="6">
        <f t="shared" si="4"/>
        <v>1</v>
      </c>
      <c r="Z19" s="6">
        <f t="shared" si="2"/>
        <v>0</v>
      </c>
      <c r="AA19" s="69" t="s">
        <v>62</v>
      </c>
    </row>
    <row r="20" spans="1:27" x14ac:dyDescent="0.25">
      <c r="A20" s="41"/>
      <c r="B20" s="51" t="s">
        <v>134</v>
      </c>
      <c r="C20" s="60">
        <v>55943</v>
      </c>
      <c r="D20" s="49" t="s">
        <v>53</v>
      </c>
      <c r="E20" s="50" t="s">
        <v>63</v>
      </c>
      <c r="F20" s="41"/>
      <c r="G20" s="51" t="s">
        <v>31</v>
      </c>
      <c r="H20" s="49">
        <f>H10</f>
        <v>16435.099999999999</v>
      </c>
      <c r="I20" s="49" t="s">
        <v>53</v>
      </c>
      <c r="J20" s="50"/>
      <c r="K20" s="41"/>
      <c r="L20" s="51" t="s">
        <v>84</v>
      </c>
      <c r="M20" s="49">
        <v>61.2</v>
      </c>
      <c r="N20" s="49" t="s">
        <v>82</v>
      </c>
      <c r="O20" s="50"/>
      <c r="P20" s="41"/>
      <c r="Q20" s="70" t="s">
        <v>194</v>
      </c>
      <c r="R20" s="27">
        <v>0</v>
      </c>
      <c r="S20" s="27">
        <f>H28</f>
        <v>3.56</v>
      </c>
      <c r="T20" s="27">
        <v>23.036000000000001</v>
      </c>
      <c r="U20" s="69" t="s">
        <v>109</v>
      </c>
      <c r="W20" s="70" t="s">
        <v>194</v>
      </c>
      <c r="X20" s="6">
        <f t="shared" si="3"/>
        <v>0</v>
      </c>
      <c r="Y20" s="6">
        <f t="shared" si="4"/>
        <v>0.13290524901067721</v>
      </c>
      <c r="Z20" s="6">
        <f t="shared" si="2"/>
        <v>0.86000149331740461</v>
      </c>
      <c r="AA20" s="69" t="s">
        <v>62</v>
      </c>
    </row>
    <row r="21" spans="1:27" x14ac:dyDescent="0.25">
      <c r="A21" s="41"/>
      <c r="B21" s="51"/>
      <c r="C21" s="49"/>
      <c r="D21" s="49"/>
      <c r="E21" s="50"/>
      <c r="F21" s="41"/>
      <c r="G21" s="51" t="s">
        <v>40</v>
      </c>
      <c r="H21" s="49">
        <v>476560</v>
      </c>
      <c r="I21" s="49" t="s">
        <v>53</v>
      </c>
      <c r="J21" s="50" t="s">
        <v>144</v>
      </c>
      <c r="K21" s="41"/>
      <c r="L21" s="51" t="s">
        <v>85</v>
      </c>
      <c r="M21" s="49">
        <v>76.7</v>
      </c>
      <c r="N21" s="49" t="s">
        <v>82</v>
      </c>
      <c r="O21" s="50"/>
      <c r="P21" s="41"/>
      <c r="Q21" s="70" t="s">
        <v>197</v>
      </c>
      <c r="R21" s="27">
        <v>0</v>
      </c>
      <c r="S21" s="27">
        <v>0</v>
      </c>
      <c r="T21" s="27">
        <f>M57</f>
        <v>22358</v>
      </c>
      <c r="U21" s="69" t="s">
        <v>2</v>
      </c>
      <c r="W21" s="70" t="s">
        <v>197</v>
      </c>
      <c r="X21" s="6">
        <f t="shared" si="3"/>
        <v>0</v>
      </c>
      <c r="Y21" s="6">
        <f t="shared" si="4"/>
        <v>0</v>
      </c>
      <c r="Z21" s="6">
        <f t="shared" si="2"/>
        <v>834.68976330919133</v>
      </c>
      <c r="AA21" s="69" t="s">
        <v>2</v>
      </c>
    </row>
    <row r="22" spans="1:27" ht="17.25" x14ac:dyDescent="0.25">
      <c r="A22" s="41"/>
      <c r="B22" s="48" t="s">
        <v>44</v>
      </c>
      <c r="C22" s="49"/>
      <c r="D22" s="49"/>
      <c r="E22" s="50"/>
      <c r="F22" s="41"/>
      <c r="G22" s="51" t="s">
        <v>41</v>
      </c>
      <c r="H22" s="49">
        <v>109.71</v>
      </c>
      <c r="I22" s="49" t="s">
        <v>130</v>
      </c>
      <c r="J22" s="50" t="s">
        <v>145</v>
      </c>
      <c r="K22" s="41"/>
      <c r="L22" s="51" t="s">
        <v>86</v>
      </c>
      <c r="M22" s="49">
        <v>45.2</v>
      </c>
      <c r="N22" s="49" t="s">
        <v>82</v>
      </c>
      <c r="O22" s="50"/>
      <c r="P22" s="41"/>
      <c r="Q22" s="68" t="s">
        <v>143</v>
      </c>
      <c r="R22" s="27"/>
      <c r="S22" s="27"/>
      <c r="T22" s="27"/>
      <c r="U22" s="69"/>
      <c r="W22" s="68" t="s">
        <v>143</v>
      </c>
      <c r="X22" s="6">
        <f t="shared" si="3"/>
        <v>0</v>
      </c>
      <c r="Y22" s="6">
        <f t="shared" si="4"/>
        <v>0</v>
      </c>
      <c r="Z22" s="6">
        <f t="shared" si="2"/>
        <v>0</v>
      </c>
      <c r="AA22" s="69"/>
    </row>
    <row r="23" spans="1:27" x14ac:dyDescent="0.25">
      <c r="A23" s="41"/>
      <c r="B23" s="51" t="s">
        <v>131</v>
      </c>
      <c r="C23" s="55">
        <v>36.564999999999998</v>
      </c>
      <c r="D23" s="49" t="s">
        <v>62</v>
      </c>
      <c r="E23" s="50">
        <v>0.57718000000000003</v>
      </c>
      <c r="F23" s="41"/>
      <c r="G23" s="51" t="s">
        <v>70</v>
      </c>
      <c r="H23" s="49">
        <v>9.4492999999999991</v>
      </c>
      <c r="I23" s="49" t="s">
        <v>53</v>
      </c>
      <c r="J23" s="50" t="s">
        <v>147</v>
      </c>
      <c r="K23" s="41"/>
      <c r="L23" s="51" t="s">
        <v>41</v>
      </c>
      <c r="M23" s="49"/>
      <c r="N23" s="49"/>
      <c r="O23" s="50"/>
      <c r="P23" s="41"/>
      <c r="Q23" s="68" t="s">
        <v>38</v>
      </c>
      <c r="R23" s="27"/>
      <c r="S23" s="27"/>
      <c r="T23" s="27"/>
      <c r="U23" s="69"/>
      <c r="W23" s="68" t="s">
        <v>38</v>
      </c>
      <c r="X23" s="6">
        <f t="shared" si="3"/>
        <v>0</v>
      </c>
      <c r="Y23" s="6">
        <f t="shared" si="4"/>
        <v>0</v>
      </c>
      <c r="Z23" s="6">
        <f t="shared" si="2"/>
        <v>0</v>
      </c>
      <c r="AA23" s="69"/>
    </row>
    <row r="24" spans="1:27" x14ac:dyDescent="0.25">
      <c r="A24" s="41"/>
      <c r="B24" s="51"/>
      <c r="C24" s="49"/>
      <c r="D24" s="49"/>
      <c r="E24" s="50"/>
      <c r="F24" s="41"/>
      <c r="G24" s="54" t="s">
        <v>149</v>
      </c>
      <c r="H24" s="55">
        <v>14.112</v>
      </c>
      <c r="I24" s="55" t="s">
        <v>106</v>
      </c>
      <c r="J24" s="50" t="s">
        <v>150</v>
      </c>
      <c r="K24" s="41"/>
      <c r="L24" s="51" t="s">
        <v>45</v>
      </c>
      <c r="M24" s="49"/>
      <c r="N24" s="49"/>
      <c r="O24" s="50"/>
      <c r="P24" s="41"/>
      <c r="Q24" s="70" t="s">
        <v>39</v>
      </c>
      <c r="R24" s="27">
        <f>C20</f>
        <v>55943</v>
      </c>
      <c r="S24" s="27">
        <f>H39</f>
        <v>55943</v>
      </c>
      <c r="T24" s="27">
        <v>0</v>
      </c>
      <c r="U24" s="69" t="s">
        <v>2</v>
      </c>
      <c r="W24" s="70" t="s">
        <v>39</v>
      </c>
      <c r="X24" s="6">
        <f t="shared" si="3"/>
        <v>2088.5163891585157</v>
      </c>
      <c r="Y24" s="6">
        <f t="shared" si="4"/>
        <v>2088.5163891585157</v>
      </c>
      <c r="Z24" s="6">
        <f t="shared" si="2"/>
        <v>0</v>
      </c>
      <c r="AA24" s="69" t="s">
        <v>2</v>
      </c>
    </row>
    <row r="25" spans="1:27" x14ac:dyDescent="0.25">
      <c r="A25" s="41"/>
      <c r="B25" s="48" t="s">
        <v>34</v>
      </c>
      <c r="C25" s="49"/>
      <c r="D25" s="49"/>
      <c r="E25" s="50"/>
      <c r="F25" s="41"/>
      <c r="G25" s="51"/>
      <c r="H25" s="49"/>
      <c r="I25" s="49"/>
      <c r="J25" s="50"/>
      <c r="K25" s="41"/>
      <c r="L25" s="51"/>
      <c r="M25" s="49"/>
      <c r="N25" s="49"/>
      <c r="O25" s="50"/>
      <c r="P25" s="41"/>
      <c r="Q25" s="70" t="s">
        <v>198</v>
      </c>
      <c r="R25" s="27">
        <v>0</v>
      </c>
      <c r="S25" s="27">
        <v>0</v>
      </c>
      <c r="T25" s="27">
        <f>M65</f>
        <v>22358</v>
      </c>
      <c r="U25" s="69" t="s">
        <v>2</v>
      </c>
      <c r="W25" s="70" t="s">
        <v>198</v>
      </c>
      <c r="X25" s="6">
        <f t="shared" si="3"/>
        <v>0</v>
      </c>
      <c r="Y25" s="6">
        <f t="shared" si="4"/>
        <v>0</v>
      </c>
      <c r="Z25" s="6">
        <f t="shared" si="2"/>
        <v>834.68976330919133</v>
      </c>
      <c r="AA25" s="69" t="s">
        <v>2</v>
      </c>
    </row>
    <row r="26" spans="1:27" ht="15.75" thickBot="1" x14ac:dyDescent="0.3">
      <c r="A26" s="41"/>
      <c r="B26" s="56" t="s">
        <v>66</v>
      </c>
      <c r="C26" s="57">
        <v>36645.9254</v>
      </c>
      <c r="D26" s="57" t="s">
        <v>53</v>
      </c>
      <c r="E26" s="58" t="s">
        <v>67</v>
      </c>
      <c r="F26" s="41"/>
      <c r="G26" s="48" t="s">
        <v>44</v>
      </c>
      <c r="H26" s="49"/>
      <c r="I26" s="49"/>
      <c r="J26" s="50"/>
      <c r="K26" s="41"/>
      <c r="L26" s="48" t="s">
        <v>87</v>
      </c>
      <c r="M26" s="49"/>
      <c r="N26" s="49"/>
      <c r="O26" s="50"/>
      <c r="P26" s="41"/>
      <c r="Q26" s="70" t="s">
        <v>203</v>
      </c>
      <c r="R26" s="27">
        <v>0</v>
      </c>
      <c r="S26" s="27">
        <f>H13</f>
        <v>9.8777777777777782</v>
      </c>
      <c r="T26" s="27">
        <f>M66</f>
        <v>61.85</v>
      </c>
      <c r="U26" s="69" t="s">
        <v>109</v>
      </c>
      <c r="W26" s="70" t="s">
        <v>203</v>
      </c>
      <c r="X26" s="6">
        <f t="shared" si="3"/>
        <v>0</v>
      </c>
      <c r="Y26" s="6">
        <f t="shared" si="4"/>
        <v>0.36876643686171051</v>
      </c>
      <c r="Z26" s="6">
        <f t="shared" si="2"/>
        <v>2.3090420368849398</v>
      </c>
      <c r="AA26" s="69" t="s">
        <v>62</v>
      </c>
    </row>
    <row r="27" spans="1:27" x14ac:dyDescent="0.25">
      <c r="A27" s="41"/>
      <c r="B27" s="41"/>
      <c r="C27" s="41"/>
      <c r="D27" s="41"/>
      <c r="E27" s="41"/>
      <c r="F27" s="41"/>
      <c r="G27" s="51" t="s">
        <v>45</v>
      </c>
      <c r="H27" s="49">
        <v>26.786000000000001</v>
      </c>
      <c r="I27" s="49" t="s">
        <v>109</v>
      </c>
      <c r="J27" s="50">
        <v>0.40032299999999998</v>
      </c>
      <c r="K27" s="41"/>
      <c r="L27" s="51" t="s">
        <v>81</v>
      </c>
      <c r="M27" s="49">
        <v>242.84</v>
      </c>
      <c r="N27" s="49" t="s">
        <v>82</v>
      </c>
      <c r="O27" s="50"/>
      <c r="P27" s="41"/>
      <c r="Q27" s="70" t="s">
        <v>199</v>
      </c>
      <c r="R27" s="27">
        <v>0</v>
      </c>
      <c r="S27" s="27">
        <f>H31</f>
        <v>27.95</v>
      </c>
      <c r="T27" s="27">
        <v>0</v>
      </c>
      <c r="U27" s="69" t="s">
        <v>109</v>
      </c>
      <c r="W27" s="70" t="s">
        <v>199</v>
      </c>
      <c r="X27" s="6">
        <f t="shared" si="3"/>
        <v>0</v>
      </c>
      <c r="Y27" s="6">
        <f t="shared" si="4"/>
        <v>1.0434555364742775</v>
      </c>
      <c r="Z27" s="6">
        <f t="shared" si="2"/>
        <v>0</v>
      </c>
      <c r="AA27" s="69" t="s">
        <v>62</v>
      </c>
    </row>
    <row r="28" spans="1:27" ht="15.75" thickBot="1" x14ac:dyDescent="0.3">
      <c r="A28" s="41"/>
      <c r="B28" s="41"/>
      <c r="C28" s="41"/>
      <c r="D28" s="41"/>
      <c r="E28" s="41"/>
      <c r="F28" s="41"/>
      <c r="G28" s="51" t="s">
        <v>146</v>
      </c>
      <c r="H28" s="49">
        <v>3.56</v>
      </c>
      <c r="I28" s="49" t="s">
        <v>109</v>
      </c>
      <c r="J28" s="50">
        <v>5.3205000000000002E-2</v>
      </c>
      <c r="K28" s="41"/>
      <c r="L28" s="56" t="s">
        <v>41</v>
      </c>
      <c r="M28" s="57"/>
      <c r="N28" s="57"/>
      <c r="O28" s="58"/>
      <c r="P28" s="41"/>
      <c r="Q28" s="68" t="s">
        <v>87</v>
      </c>
      <c r="R28" s="27"/>
      <c r="S28" s="27"/>
      <c r="T28" s="27"/>
      <c r="U28" s="69"/>
      <c r="W28" s="68" t="s">
        <v>87</v>
      </c>
      <c r="X28" s="6"/>
      <c r="Y28" s="6"/>
      <c r="Z28" s="6"/>
      <c r="AA28" s="69"/>
    </row>
    <row r="29" spans="1:27" x14ac:dyDescent="0.25">
      <c r="A29" s="41"/>
      <c r="B29" s="41"/>
      <c r="C29" s="41"/>
      <c r="D29" s="41"/>
      <c r="E29" s="41"/>
      <c r="F29" s="41"/>
      <c r="G29" s="51"/>
      <c r="H29" s="49"/>
      <c r="I29" s="49"/>
      <c r="J29" s="50"/>
      <c r="K29" s="41"/>
      <c r="L29" s="41"/>
      <c r="M29" s="41"/>
      <c r="N29" s="41"/>
      <c r="O29" s="41"/>
      <c r="P29" s="41"/>
      <c r="Q29" s="70" t="s">
        <v>191</v>
      </c>
      <c r="R29" s="27">
        <f>C23</f>
        <v>36.564999999999998</v>
      </c>
      <c r="S29" s="27">
        <f>H41</f>
        <v>36.564999999999998</v>
      </c>
      <c r="T29" s="27">
        <f>M58</f>
        <v>36.564999999999998</v>
      </c>
      <c r="U29" s="69" t="s">
        <v>109</v>
      </c>
      <c r="W29" s="70" t="s">
        <v>191</v>
      </c>
      <c r="X29" s="6">
        <f>R29/R$19</f>
        <v>1.3650787724930933</v>
      </c>
      <c r="Y29" s="6">
        <f>S29/S$19</f>
        <v>1.3650787724930933</v>
      </c>
      <c r="Z29" s="6">
        <f t="shared" ref="Z29:Z30" si="5">T29/T$30</f>
        <v>1.3650787724930933</v>
      </c>
      <c r="AA29" s="69" t="s">
        <v>62</v>
      </c>
    </row>
    <row r="30" spans="1:27" ht="15.75" thickBot="1" x14ac:dyDescent="0.3">
      <c r="A30" s="41"/>
      <c r="B30" s="41"/>
      <c r="C30" s="41"/>
      <c r="D30" s="41"/>
      <c r="E30" s="41"/>
      <c r="F30" s="41"/>
      <c r="G30" s="48" t="s">
        <v>142</v>
      </c>
      <c r="H30" s="49"/>
      <c r="I30" s="49"/>
      <c r="J30" s="50"/>
      <c r="K30" s="41"/>
      <c r="L30" s="41"/>
      <c r="M30" s="41"/>
      <c r="N30" s="41"/>
      <c r="O30" s="41"/>
      <c r="P30" s="41"/>
      <c r="Q30" s="72" t="s">
        <v>207</v>
      </c>
      <c r="T30" s="13">
        <f>C10</f>
        <v>26.786000000000001</v>
      </c>
      <c r="U30" s="69" t="s">
        <v>109</v>
      </c>
      <c r="W30" s="72" t="s">
        <v>207</v>
      </c>
      <c r="X30" s="6">
        <f t="shared" ref="X30" si="6">R31/R$19</f>
        <v>0</v>
      </c>
      <c r="Y30" s="6">
        <f t="shared" ref="Y30" si="7">S31/S$19</f>
        <v>0</v>
      </c>
      <c r="Z30" s="6">
        <f t="shared" si="5"/>
        <v>1</v>
      </c>
      <c r="AA30" s="69" t="s">
        <v>62</v>
      </c>
    </row>
    <row r="31" spans="1:27" x14ac:dyDescent="0.25">
      <c r="A31" s="41"/>
      <c r="B31" s="41"/>
      <c r="C31" s="41"/>
      <c r="D31" s="41"/>
      <c r="E31" s="41"/>
      <c r="F31" s="41"/>
      <c r="G31" s="51" t="s">
        <v>151</v>
      </c>
      <c r="H31" s="49">
        <v>27.95</v>
      </c>
      <c r="I31" s="49" t="s">
        <v>109</v>
      </c>
      <c r="J31" s="50"/>
      <c r="K31" s="41"/>
      <c r="L31" s="42"/>
      <c r="M31" s="43" t="s">
        <v>89</v>
      </c>
      <c r="N31" s="44"/>
      <c r="O31" s="45"/>
      <c r="P31" s="41"/>
      <c r="Q31" s="71" t="s">
        <v>181</v>
      </c>
      <c r="R31" s="27"/>
      <c r="S31" s="27"/>
      <c r="T31" s="27"/>
      <c r="U31" s="69"/>
      <c r="W31" s="71" t="s">
        <v>181</v>
      </c>
    </row>
    <row r="32" spans="1:27" x14ac:dyDescent="0.25">
      <c r="A32" s="41"/>
      <c r="B32" s="41"/>
      <c r="C32" s="41"/>
      <c r="D32" s="41"/>
      <c r="E32" s="41"/>
      <c r="F32" s="41"/>
      <c r="G32" s="51"/>
      <c r="H32" s="49"/>
      <c r="I32" s="49"/>
      <c r="J32" s="50"/>
      <c r="K32" s="41"/>
      <c r="L32" s="48" t="s">
        <v>38</v>
      </c>
      <c r="M32" s="49"/>
      <c r="N32" s="49"/>
      <c r="O32" s="50"/>
      <c r="P32" s="41"/>
      <c r="Q32" s="70" t="s">
        <v>36</v>
      </c>
      <c r="R32" s="27">
        <f>C14</f>
        <v>366.6</v>
      </c>
      <c r="S32" s="27">
        <f>H35</f>
        <v>19.037913507793501</v>
      </c>
      <c r="T32" s="27">
        <f>M68</f>
        <v>9.3672700000000002E-5</v>
      </c>
      <c r="U32" s="69" t="s">
        <v>2</v>
      </c>
      <c r="W32" s="70" t="s">
        <v>36</v>
      </c>
      <c r="X32" s="6">
        <f t="shared" ref="X32:X50" si="8">R32/R$19</f>
        <v>13.686254013290526</v>
      </c>
      <c r="Y32" s="6">
        <f t="shared" ref="Y32:Y50" si="9">S32/S$19</f>
        <v>0.71074118971826705</v>
      </c>
      <c r="Z32" s="6">
        <f>T32/T$30</f>
        <v>3.4970768311804674E-6</v>
      </c>
      <c r="AA32" s="69" t="s">
        <v>2</v>
      </c>
    </row>
    <row r="33" spans="1:27" x14ac:dyDescent="0.25">
      <c r="A33" s="41"/>
      <c r="B33" s="41"/>
      <c r="C33" s="41"/>
      <c r="D33" s="41"/>
      <c r="E33" s="41"/>
      <c r="F33" s="41"/>
      <c r="G33" s="48" t="s">
        <v>34</v>
      </c>
      <c r="H33" s="49"/>
      <c r="I33" s="49"/>
      <c r="J33" s="50"/>
      <c r="K33" s="41"/>
      <c r="L33" s="51" t="s">
        <v>93</v>
      </c>
      <c r="M33" s="49">
        <v>18022.966</v>
      </c>
      <c r="N33" s="49" t="s">
        <v>2</v>
      </c>
      <c r="O33" s="50"/>
      <c r="P33" s="41"/>
      <c r="Q33" s="70" t="s">
        <v>204</v>
      </c>
      <c r="R33" s="27">
        <f>C13</f>
        <v>26645.319</v>
      </c>
      <c r="S33" s="27">
        <f>H34</f>
        <v>26645.319144183999</v>
      </c>
      <c r="T33" s="27">
        <f>M69</f>
        <v>10778.31</v>
      </c>
      <c r="U33" s="69" t="s">
        <v>2</v>
      </c>
      <c r="W33" s="70" t="s">
        <v>204</v>
      </c>
      <c r="X33" s="6">
        <f t="shared" si="8"/>
        <v>994.74796535503617</v>
      </c>
      <c r="Y33" s="6">
        <f t="shared" si="9"/>
        <v>994.74797073784805</v>
      </c>
      <c r="Z33" s="6">
        <f t="shared" ref="Z33:Z50" si="10">T33/T$30</f>
        <v>402.38594788322251</v>
      </c>
      <c r="AA33" s="69" t="s">
        <v>2</v>
      </c>
    </row>
    <row r="34" spans="1:27" x14ac:dyDescent="0.25">
      <c r="A34" s="41"/>
      <c r="B34" s="41"/>
      <c r="C34" s="41"/>
      <c r="D34" s="41"/>
      <c r="E34" s="41"/>
      <c r="F34" s="41"/>
      <c r="G34" s="51" t="s">
        <v>65</v>
      </c>
      <c r="H34" s="49">
        <v>26645.319144183999</v>
      </c>
      <c r="I34" s="49" t="s">
        <v>53</v>
      </c>
      <c r="J34" s="50" t="s">
        <v>152</v>
      </c>
      <c r="K34" s="41"/>
      <c r="L34" s="51" t="s">
        <v>90</v>
      </c>
      <c r="M34" s="49">
        <v>15890.91</v>
      </c>
      <c r="N34" s="49" t="s">
        <v>2</v>
      </c>
      <c r="O34" s="50"/>
      <c r="P34" s="41"/>
      <c r="Q34" s="70" t="s">
        <v>71</v>
      </c>
      <c r="R34" s="27">
        <f>C26</f>
        <v>36645.9254</v>
      </c>
      <c r="S34" s="27">
        <f>H43</f>
        <v>36645.9254</v>
      </c>
      <c r="T34" s="27">
        <f>M70</f>
        <v>20248.439999999999</v>
      </c>
      <c r="U34" s="69" t="s">
        <v>2</v>
      </c>
      <c r="W34" s="70" t="s">
        <v>71</v>
      </c>
      <c r="X34" s="6">
        <f t="shared" si="8"/>
        <v>1368.0999552004778</v>
      </c>
      <c r="Y34" s="6">
        <f t="shared" si="9"/>
        <v>1368.0999552004778</v>
      </c>
      <c r="Z34" s="6">
        <f t="shared" si="10"/>
        <v>755.93369670723507</v>
      </c>
      <c r="AA34" s="69" t="s">
        <v>2</v>
      </c>
    </row>
    <row r="35" spans="1:27" ht="15.75" thickBot="1" x14ac:dyDescent="0.3">
      <c r="A35" s="41"/>
      <c r="B35" s="41"/>
      <c r="C35" s="41"/>
      <c r="D35" s="41"/>
      <c r="E35" s="41"/>
      <c r="F35" s="41"/>
      <c r="G35" s="56" t="s">
        <v>36</v>
      </c>
      <c r="H35" s="57">
        <v>19.037913507793501</v>
      </c>
      <c r="I35" s="57" t="s">
        <v>53</v>
      </c>
      <c r="J35" s="58" t="s">
        <v>153</v>
      </c>
      <c r="K35" s="41"/>
      <c r="L35" s="51" t="s">
        <v>91</v>
      </c>
      <c r="M35" s="49">
        <v>26915.439999999999</v>
      </c>
      <c r="N35" s="49" t="s">
        <v>2</v>
      </c>
      <c r="O35" s="50"/>
      <c r="P35" s="41"/>
      <c r="Q35" s="72" t="s">
        <v>119</v>
      </c>
      <c r="R35" s="27">
        <v>0</v>
      </c>
      <c r="S35" s="27">
        <v>0</v>
      </c>
      <c r="T35" s="27">
        <f>M71</f>
        <v>0.32231533000000001</v>
      </c>
      <c r="U35" s="69" t="s">
        <v>2</v>
      </c>
      <c r="W35" s="72" t="s">
        <v>119</v>
      </c>
      <c r="X35" s="6">
        <f t="shared" si="8"/>
        <v>0</v>
      </c>
      <c r="Y35" s="6">
        <f t="shared" si="9"/>
        <v>0</v>
      </c>
      <c r="Z35" s="6">
        <f t="shared" si="10"/>
        <v>1.2032977301575449E-2</v>
      </c>
      <c r="AA35" s="69" t="s">
        <v>2</v>
      </c>
    </row>
    <row r="36" spans="1:27" ht="15.75" thickBot="1" x14ac:dyDescent="0.3">
      <c r="A36" s="41"/>
      <c r="B36" s="41"/>
      <c r="C36" s="41"/>
      <c r="D36" s="41"/>
      <c r="E36" s="41"/>
      <c r="F36" s="41"/>
      <c r="G36" s="51"/>
      <c r="H36" s="49"/>
      <c r="I36" s="49"/>
      <c r="J36" s="49"/>
      <c r="K36" s="41"/>
      <c r="L36" s="51" t="s">
        <v>92</v>
      </c>
      <c r="M36" s="49">
        <v>7639.8879999999999</v>
      </c>
      <c r="N36" s="49" t="s">
        <v>2</v>
      </c>
      <c r="O36" s="50"/>
      <c r="P36" s="41"/>
      <c r="Q36" s="72" t="s">
        <v>179</v>
      </c>
      <c r="R36" s="27"/>
      <c r="S36" s="27"/>
      <c r="T36" s="27">
        <f t="shared" ref="T36:T50" si="11">M73</f>
        <v>1.52425E-13</v>
      </c>
      <c r="U36" s="69" t="s">
        <v>2</v>
      </c>
      <c r="W36" s="72" t="s">
        <v>179</v>
      </c>
      <c r="X36" s="6">
        <f t="shared" si="8"/>
        <v>0</v>
      </c>
      <c r="Y36" s="6">
        <f t="shared" si="9"/>
        <v>0</v>
      </c>
      <c r="Z36" s="6">
        <f t="shared" si="10"/>
        <v>5.6904726349585602E-15</v>
      </c>
      <c r="AA36" s="69" t="s">
        <v>2</v>
      </c>
    </row>
    <row r="37" spans="1:27" x14ac:dyDescent="0.25">
      <c r="A37" s="41"/>
      <c r="B37" s="41"/>
      <c r="C37" s="41"/>
      <c r="D37" s="41"/>
      <c r="E37" s="41"/>
      <c r="F37" s="41"/>
      <c r="G37" s="42"/>
      <c r="H37" s="43" t="s">
        <v>143</v>
      </c>
      <c r="I37" s="44"/>
      <c r="J37" s="45"/>
      <c r="K37" s="41"/>
      <c r="L37" s="51"/>
      <c r="M37" s="49"/>
      <c r="N37" s="49"/>
      <c r="O37" s="50"/>
      <c r="P37" s="41"/>
      <c r="Q37" s="72" t="s">
        <v>169</v>
      </c>
      <c r="R37" s="27"/>
      <c r="S37" s="27"/>
      <c r="T37" s="27">
        <f t="shared" si="11"/>
        <v>7.7350300000000004E-19</v>
      </c>
      <c r="U37" s="69" t="s">
        <v>2</v>
      </c>
      <c r="W37" s="72" t="s">
        <v>169</v>
      </c>
      <c r="X37" s="6">
        <f t="shared" si="8"/>
        <v>0</v>
      </c>
      <c r="Y37" s="6">
        <f t="shared" si="9"/>
        <v>0</v>
      </c>
      <c r="Z37" s="6">
        <f t="shared" si="10"/>
        <v>2.8877137310535357E-20</v>
      </c>
      <c r="AA37" s="69" t="s">
        <v>2</v>
      </c>
    </row>
    <row r="38" spans="1:27" x14ac:dyDescent="0.25">
      <c r="A38" s="41"/>
      <c r="B38" s="41"/>
      <c r="C38" s="41"/>
      <c r="D38" s="41"/>
      <c r="E38" s="41"/>
      <c r="F38" s="41"/>
      <c r="G38" s="48" t="s">
        <v>38</v>
      </c>
      <c r="H38" s="49"/>
      <c r="I38" s="49"/>
      <c r="J38" s="50"/>
      <c r="K38" s="41"/>
      <c r="L38" s="48" t="s">
        <v>94</v>
      </c>
      <c r="M38" s="49"/>
      <c r="N38" s="49"/>
      <c r="O38" s="50"/>
      <c r="P38" s="41"/>
      <c r="Q38" s="72" t="s">
        <v>48</v>
      </c>
      <c r="R38" s="27"/>
      <c r="S38" s="27"/>
      <c r="T38" s="27">
        <f t="shared" si="11"/>
        <v>3.2017300000000002E-10</v>
      </c>
      <c r="U38" s="69" t="s">
        <v>2</v>
      </c>
      <c r="W38" s="72" t="s">
        <v>48</v>
      </c>
      <c r="X38" s="6">
        <f t="shared" si="8"/>
        <v>0</v>
      </c>
      <c r="Y38" s="6">
        <f t="shared" si="9"/>
        <v>0</v>
      </c>
      <c r="Z38" s="6">
        <f t="shared" si="10"/>
        <v>1.1952997834689763E-11</v>
      </c>
      <c r="AA38" s="69" t="s">
        <v>2</v>
      </c>
    </row>
    <row r="39" spans="1:27" ht="15.75" thickBot="1" x14ac:dyDescent="0.3">
      <c r="A39" s="41"/>
      <c r="B39" s="41"/>
      <c r="C39" s="41"/>
      <c r="D39" s="41"/>
      <c r="E39" s="41"/>
      <c r="F39" s="41"/>
      <c r="G39" s="51" t="s">
        <v>39</v>
      </c>
      <c r="H39" s="49">
        <v>55943</v>
      </c>
      <c r="I39" s="49"/>
      <c r="J39" s="50" t="s">
        <v>69</v>
      </c>
      <c r="K39" s="41"/>
      <c r="L39" s="56" t="s">
        <v>95</v>
      </c>
      <c r="M39" s="57">
        <v>16200</v>
      </c>
      <c r="N39" s="57" t="s">
        <v>2</v>
      </c>
      <c r="O39" s="58"/>
      <c r="P39" s="41"/>
      <c r="Q39" s="72" t="s">
        <v>124</v>
      </c>
      <c r="R39" s="27"/>
      <c r="S39" s="27"/>
      <c r="T39" s="27">
        <f t="shared" si="11"/>
        <v>2.4576100000000001E-24</v>
      </c>
      <c r="U39" s="69" t="s">
        <v>2</v>
      </c>
      <c r="W39" s="72" t="s">
        <v>124</v>
      </c>
      <c r="X39" s="6">
        <f t="shared" si="8"/>
        <v>0</v>
      </c>
      <c r="Y39" s="6">
        <f t="shared" si="9"/>
        <v>0</v>
      </c>
      <c r="Z39" s="6">
        <f t="shared" si="10"/>
        <v>9.1749794668856863E-26</v>
      </c>
      <c r="AA39" s="69" t="s">
        <v>2</v>
      </c>
    </row>
    <row r="40" spans="1:27" ht="15.75" thickBot="1" x14ac:dyDescent="0.3">
      <c r="A40" s="41"/>
      <c r="B40" s="41"/>
      <c r="C40" s="41"/>
      <c r="D40" s="41"/>
      <c r="E40" s="41"/>
      <c r="F40" s="41"/>
      <c r="G40" s="48" t="s">
        <v>87</v>
      </c>
      <c r="H40" s="49"/>
      <c r="I40" s="49"/>
      <c r="J40" s="50"/>
      <c r="K40" s="41"/>
      <c r="L40" s="41"/>
      <c r="M40" s="41"/>
      <c r="N40" s="41"/>
      <c r="O40" s="41"/>
      <c r="P40" s="41"/>
      <c r="Q40" s="72" t="s">
        <v>170</v>
      </c>
      <c r="R40" s="27"/>
      <c r="S40" s="27"/>
      <c r="T40" s="27">
        <f t="shared" si="11"/>
        <v>1.15647E-45</v>
      </c>
      <c r="U40" s="69" t="s">
        <v>2</v>
      </c>
      <c r="W40" s="72" t="s">
        <v>170</v>
      </c>
      <c r="X40" s="6">
        <f t="shared" si="8"/>
        <v>0</v>
      </c>
      <c r="Y40" s="6">
        <f t="shared" si="9"/>
        <v>0</v>
      </c>
      <c r="Z40" s="6">
        <f t="shared" si="10"/>
        <v>4.3174419472858955E-47</v>
      </c>
      <c r="AA40" s="69" t="s">
        <v>2</v>
      </c>
    </row>
    <row r="41" spans="1:27" x14ac:dyDescent="0.25">
      <c r="A41" s="41"/>
      <c r="B41" s="41"/>
      <c r="C41" s="41"/>
      <c r="D41" s="41"/>
      <c r="E41" s="41"/>
      <c r="F41" s="41"/>
      <c r="G41" s="54" t="s">
        <v>155</v>
      </c>
      <c r="H41" s="49">
        <v>36.564999999999998</v>
      </c>
      <c r="I41" s="49"/>
      <c r="J41" s="50">
        <v>0.54649999999999999</v>
      </c>
      <c r="K41" s="41"/>
      <c r="L41" s="42"/>
      <c r="M41" s="43" t="s">
        <v>56</v>
      </c>
      <c r="N41" s="44"/>
      <c r="O41" s="45"/>
      <c r="P41" s="41"/>
      <c r="Q41" s="72" t="s">
        <v>173</v>
      </c>
      <c r="R41" s="27"/>
      <c r="S41" s="27"/>
      <c r="T41" s="27">
        <f t="shared" si="11"/>
        <v>1.29293E-14</v>
      </c>
      <c r="U41" s="69" t="s">
        <v>2</v>
      </c>
      <c r="W41" s="72" t="s">
        <v>173</v>
      </c>
      <c r="X41" s="6">
        <f t="shared" si="8"/>
        <v>0</v>
      </c>
      <c r="Y41" s="6">
        <f t="shared" si="9"/>
        <v>0</v>
      </c>
      <c r="Z41" s="6">
        <f t="shared" si="10"/>
        <v>4.8268871798700811E-16</v>
      </c>
      <c r="AA41" s="69" t="s">
        <v>2</v>
      </c>
    </row>
    <row r="42" spans="1:27" x14ac:dyDescent="0.25">
      <c r="A42" s="41"/>
      <c r="B42" s="41"/>
      <c r="C42" s="41"/>
      <c r="D42" s="41"/>
      <c r="E42" s="41"/>
      <c r="F42" s="41"/>
      <c r="G42" s="48" t="s">
        <v>43</v>
      </c>
      <c r="H42" s="49"/>
      <c r="I42" s="49"/>
      <c r="J42" s="50"/>
      <c r="K42" s="41"/>
      <c r="L42" s="48" t="s">
        <v>38</v>
      </c>
      <c r="M42" s="49"/>
      <c r="N42" s="49"/>
      <c r="O42" s="50"/>
      <c r="P42" s="41"/>
      <c r="Q42" s="72" t="s">
        <v>174</v>
      </c>
      <c r="R42" s="27"/>
      <c r="S42" s="27"/>
      <c r="T42" s="27">
        <f t="shared" si="11"/>
        <v>7698.0069999999996</v>
      </c>
      <c r="U42" s="69" t="s">
        <v>2</v>
      </c>
      <c r="W42" s="72" t="s">
        <v>174</v>
      </c>
      <c r="X42" s="6">
        <f t="shared" si="8"/>
        <v>0</v>
      </c>
      <c r="Y42" s="6">
        <f t="shared" si="9"/>
        <v>0</v>
      </c>
      <c r="Z42" s="6">
        <f t="shared" si="10"/>
        <v>287.38919584857757</v>
      </c>
      <c r="AA42" s="69" t="s">
        <v>2</v>
      </c>
    </row>
    <row r="43" spans="1:27" ht="15.75" thickBot="1" x14ac:dyDescent="0.3">
      <c r="A43" s="41"/>
      <c r="B43" s="41"/>
      <c r="C43" s="41"/>
      <c r="D43" s="41"/>
      <c r="E43" s="41"/>
      <c r="F43" s="41"/>
      <c r="G43" s="61" t="s">
        <v>154</v>
      </c>
      <c r="H43" s="57">
        <v>36645.9254</v>
      </c>
      <c r="I43" s="57"/>
      <c r="J43" s="58"/>
      <c r="K43" s="41"/>
      <c r="L43" s="51" t="s">
        <v>31</v>
      </c>
      <c r="M43" s="49">
        <f>M10</f>
        <v>16532.099999999999</v>
      </c>
      <c r="N43" s="49" t="s">
        <v>53</v>
      </c>
      <c r="O43" s="50"/>
      <c r="P43" s="41"/>
      <c r="Q43" s="72" t="s">
        <v>172</v>
      </c>
      <c r="R43" s="27"/>
      <c r="S43" s="27"/>
      <c r="T43" s="27">
        <f t="shared" si="11"/>
        <v>5.3074699999999998E-23</v>
      </c>
      <c r="U43" s="69" t="s">
        <v>2</v>
      </c>
      <c r="W43" s="72" t="s">
        <v>172</v>
      </c>
      <c r="X43" s="6">
        <f t="shared" si="8"/>
        <v>0</v>
      </c>
      <c r="Y43" s="6">
        <f t="shared" si="9"/>
        <v>0</v>
      </c>
      <c r="Z43" s="6">
        <f t="shared" si="10"/>
        <v>1.9814343313671319E-24</v>
      </c>
      <c r="AA43" s="69" t="s">
        <v>2</v>
      </c>
    </row>
    <row r="44" spans="1:27" ht="15.75" thickBot="1" x14ac:dyDescent="0.3">
      <c r="A44" s="41"/>
      <c r="B44" s="41"/>
      <c r="C44" s="41"/>
      <c r="D44" s="41"/>
      <c r="E44" s="41"/>
      <c r="F44" s="41"/>
      <c r="G44" s="61"/>
      <c r="H44" s="57"/>
      <c r="I44" s="57"/>
      <c r="J44" s="57"/>
      <c r="K44" s="41"/>
      <c r="L44" s="51" t="s">
        <v>39</v>
      </c>
      <c r="M44" s="49">
        <v>55943</v>
      </c>
      <c r="N44" s="49" t="s">
        <v>53</v>
      </c>
      <c r="O44" s="50" t="s">
        <v>159</v>
      </c>
      <c r="P44" s="41"/>
      <c r="Q44" s="72" t="s">
        <v>171</v>
      </c>
      <c r="R44" s="27"/>
      <c r="S44" s="27"/>
      <c r="T44" s="27">
        <f t="shared" si="11"/>
        <v>1.6953800000000001E-28</v>
      </c>
      <c r="U44" s="69" t="s">
        <v>2</v>
      </c>
      <c r="W44" s="72" t="s">
        <v>171</v>
      </c>
      <c r="X44" s="6">
        <f t="shared" si="8"/>
        <v>0</v>
      </c>
      <c r="Y44" s="6">
        <f t="shared" si="9"/>
        <v>0</v>
      </c>
      <c r="Z44" s="6">
        <f t="shared" si="10"/>
        <v>6.3293511535876956E-30</v>
      </c>
      <c r="AA44" s="69" t="s">
        <v>2</v>
      </c>
    </row>
    <row r="45" spans="1:27" ht="15.75" thickBot="1" x14ac:dyDescent="0.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51" t="s">
        <v>59</v>
      </c>
      <c r="M45" s="49">
        <v>91424.07</v>
      </c>
      <c r="N45" s="49" t="s">
        <v>53</v>
      </c>
      <c r="O45" s="50" t="s">
        <v>96</v>
      </c>
      <c r="P45" s="41"/>
      <c r="Q45" s="72" t="s">
        <v>175</v>
      </c>
      <c r="R45" s="27"/>
      <c r="S45" s="27"/>
      <c r="T45" s="27">
        <f t="shared" si="11"/>
        <v>7.42267E-29</v>
      </c>
      <c r="U45" s="69" t="s">
        <v>2</v>
      </c>
      <c r="W45" s="72" t="s">
        <v>175</v>
      </c>
      <c r="X45" s="6">
        <f t="shared" si="8"/>
        <v>0</v>
      </c>
      <c r="Y45" s="6">
        <f t="shared" si="9"/>
        <v>0</v>
      </c>
      <c r="Z45" s="6">
        <f t="shared" si="10"/>
        <v>2.7711005749272006E-30</v>
      </c>
      <c r="AA45" s="69" t="s">
        <v>2</v>
      </c>
    </row>
    <row r="46" spans="1:27" x14ac:dyDescent="0.25">
      <c r="A46" s="41"/>
      <c r="B46" s="41"/>
      <c r="C46" s="41"/>
      <c r="D46" s="41"/>
      <c r="E46" s="41"/>
      <c r="F46" s="41"/>
      <c r="G46" s="42"/>
      <c r="H46" s="43" t="s">
        <v>140</v>
      </c>
      <c r="I46" s="62"/>
      <c r="J46" s="45"/>
      <c r="K46" s="41"/>
      <c r="L46" s="51" t="s">
        <v>45</v>
      </c>
      <c r="M46" s="49">
        <v>7.31</v>
      </c>
      <c r="N46" s="49" t="s">
        <v>109</v>
      </c>
      <c r="O46" s="50" t="s">
        <v>160</v>
      </c>
      <c r="P46" s="41"/>
      <c r="Q46" s="72" t="s">
        <v>176</v>
      </c>
      <c r="R46" s="27"/>
      <c r="S46" s="27"/>
      <c r="T46" s="27">
        <f t="shared" si="11"/>
        <v>1.69168E-34</v>
      </c>
      <c r="U46" s="69" t="s">
        <v>2</v>
      </c>
      <c r="W46" s="72" t="s">
        <v>176</v>
      </c>
      <c r="X46" s="6">
        <f t="shared" si="8"/>
        <v>0</v>
      </c>
      <c r="Y46" s="6">
        <f t="shared" si="9"/>
        <v>0</v>
      </c>
      <c r="Z46" s="6">
        <f t="shared" si="10"/>
        <v>6.3155379675950126E-36</v>
      </c>
      <c r="AA46" s="69" t="s">
        <v>2</v>
      </c>
    </row>
    <row r="47" spans="1:27" ht="17.25" x14ac:dyDescent="0.25">
      <c r="A47" s="41"/>
      <c r="B47" s="41"/>
      <c r="C47" s="41"/>
      <c r="D47" s="41"/>
      <c r="E47" s="41"/>
      <c r="F47" s="41"/>
      <c r="G47" s="51"/>
      <c r="H47" s="49" t="s">
        <v>122</v>
      </c>
      <c r="I47" s="49" t="s">
        <v>1</v>
      </c>
      <c r="J47" s="50" t="s">
        <v>7</v>
      </c>
      <c r="K47" s="41"/>
      <c r="L47" s="51" t="s">
        <v>57</v>
      </c>
      <c r="M47" s="55">
        <v>10.66</v>
      </c>
      <c r="N47" s="49" t="s">
        <v>130</v>
      </c>
      <c r="O47" s="50"/>
      <c r="P47" s="41"/>
      <c r="Q47" s="72" t="s">
        <v>177</v>
      </c>
      <c r="R47" s="27"/>
      <c r="S47" s="27"/>
      <c r="T47" s="27">
        <f t="shared" si="11"/>
        <v>5.64378E-22</v>
      </c>
      <c r="U47" s="69" t="s">
        <v>2</v>
      </c>
      <c r="W47" s="72" t="s">
        <v>177</v>
      </c>
      <c r="X47" s="6">
        <f t="shared" si="8"/>
        <v>0</v>
      </c>
      <c r="Y47" s="6">
        <f t="shared" si="9"/>
        <v>0</v>
      </c>
      <c r="Z47" s="6">
        <f t="shared" si="10"/>
        <v>2.106988725453595E-23</v>
      </c>
      <c r="AA47" s="69" t="s">
        <v>2</v>
      </c>
    </row>
    <row r="48" spans="1:27" x14ac:dyDescent="0.25">
      <c r="A48" s="41"/>
      <c r="B48" s="41"/>
      <c r="C48" s="41"/>
      <c r="D48" s="41"/>
      <c r="E48" s="41"/>
      <c r="F48" s="41"/>
      <c r="G48" s="48" t="s">
        <v>3</v>
      </c>
      <c r="H48">
        <v>96052.9</v>
      </c>
      <c r="I48" s="49" t="s">
        <v>30</v>
      </c>
      <c r="J48" s="50" t="s">
        <v>53</v>
      </c>
      <c r="K48" s="41"/>
      <c r="L48" s="51" t="s">
        <v>97</v>
      </c>
      <c r="M48" s="49">
        <f>5070.90417/30/8000</f>
        <v>2.1128767374999999E-2</v>
      </c>
      <c r="N48" s="49" t="s">
        <v>82</v>
      </c>
      <c r="O48" s="50" t="s">
        <v>107</v>
      </c>
      <c r="P48" s="41"/>
      <c r="Q48" s="72" t="s">
        <v>178</v>
      </c>
      <c r="R48" s="27"/>
      <c r="S48" s="27"/>
      <c r="T48" s="27">
        <f t="shared" si="11"/>
        <v>3.5821200000000001E-31</v>
      </c>
      <c r="U48" s="69" t="s">
        <v>2</v>
      </c>
      <c r="W48" s="72" t="s">
        <v>178</v>
      </c>
      <c r="X48" s="6">
        <f t="shared" si="8"/>
        <v>0</v>
      </c>
      <c r="Y48" s="6">
        <f t="shared" si="9"/>
        <v>0</v>
      </c>
      <c r="Z48" s="6">
        <f t="shared" si="10"/>
        <v>1.3373105353542895E-32</v>
      </c>
      <c r="AA48" s="69" t="s">
        <v>2</v>
      </c>
    </row>
    <row r="49" spans="1:27" x14ac:dyDescent="0.25">
      <c r="A49" s="41"/>
      <c r="B49" s="41"/>
      <c r="C49" s="41"/>
      <c r="D49" s="41"/>
      <c r="E49" s="41"/>
      <c r="F49" s="41"/>
      <c r="G49" s="51" t="s">
        <v>10</v>
      </c>
      <c r="H49">
        <v>13808.9</v>
      </c>
      <c r="I49" s="55">
        <f>H49*$I$51/$H$51</f>
        <v>90.74691539572224</v>
      </c>
      <c r="J49" s="50" t="s">
        <v>53</v>
      </c>
      <c r="K49" s="41"/>
      <c r="L49" s="51" t="s">
        <v>98</v>
      </c>
      <c r="M49" s="49">
        <f>214/8000</f>
        <v>2.6749999999999999E-2</v>
      </c>
      <c r="N49" s="49" t="s">
        <v>82</v>
      </c>
      <c r="O49" s="50" t="s">
        <v>100</v>
      </c>
      <c r="P49" s="41"/>
      <c r="Q49" s="72" t="s">
        <v>125</v>
      </c>
      <c r="R49" s="27"/>
      <c r="S49" s="27"/>
      <c r="T49" s="27">
        <f t="shared" si="11"/>
        <v>113.18840419999999</v>
      </c>
      <c r="U49" s="69" t="s">
        <v>2</v>
      </c>
      <c r="W49" s="72" t="s">
        <v>125</v>
      </c>
      <c r="X49" s="6">
        <f t="shared" si="8"/>
        <v>0</v>
      </c>
      <c r="Y49" s="6">
        <f t="shared" si="9"/>
        <v>0</v>
      </c>
      <c r="Z49" s="6">
        <f t="shared" si="10"/>
        <v>4.2256553498096014</v>
      </c>
      <c r="AA49" s="69" t="s">
        <v>2</v>
      </c>
    </row>
    <row r="50" spans="1:27" x14ac:dyDescent="0.25">
      <c r="A50" s="41"/>
      <c r="B50" s="41"/>
      <c r="C50" s="41"/>
      <c r="D50" s="41"/>
      <c r="E50" s="41"/>
      <c r="F50" s="41"/>
      <c r="G50" s="51" t="s">
        <v>121</v>
      </c>
      <c r="H50">
        <v>90856.7</v>
      </c>
      <c r="I50" s="55">
        <f>H50*$I$51/$H$51</f>
        <v>597.07618043685716</v>
      </c>
      <c r="J50" s="50" t="s">
        <v>53</v>
      </c>
      <c r="K50" s="41"/>
      <c r="L50" s="51" t="s">
        <v>99</v>
      </c>
      <c r="M50" s="49">
        <f>M27/8000</f>
        <v>3.0355E-2</v>
      </c>
      <c r="N50" s="49" t="s">
        <v>82</v>
      </c>
      <c r="O50" s="50" t="s">
        <v>101</v>
      </c>
      <c r="P50" s="41"/>
      <c r="Q50" s="72" t="s">
        <v>126</v>
      </c>
      <c r="R50" s="27"/>
      <c r="S50" s="27"/>
      <c r="T50" s="27">
        <f t="shared" si="11"/>
        <v>3.7446302444959998</v>
      </c>
      <c r="U50" s="69" t="s">
        <v>2</v>
      </c>
      <c r="W50" s="72" t="s">
        <v>126</v>
      </c>
      <c r="X50" s="6">
        <f t="shared" si="8"/>
        <v>0</v>
      </c>
      <c r="Y50" s="6">
        <f t="shared" si="9"/>
        <v>0</v>
      </c>
      <c r="Z50" s="6">
        <f t="shared" si="10"/>
        <v>0.13979803794877921</v>
      </c>
      <c r="AA50" s="69" t="s">
        <v>2</v>
      </c>
    </row>
    <row r="51" spans="1:27" x14ac:dyDescent="0.25">
      <c r="A51" s="41"/>
      <c r="B51" s="41"/>
      <c r="C51" s="41"/>
      <c r="D51" s="41"/>
      <c r="E51" s="41"/>
      <c r="F51" s="41"/>
      <c r="G51" s="51" t="s">
        <v>4</v>
      </c>
      <c r="H51">
        <v>28187.7</v>
      </c>
      <c r="I51" s="63">
        <v>185.239</v>
      </c>
      <c r="J51" s="50" t="s">
        <v>53</v>
      </c>
      <c r="K51" s="41"/>
      <c r="L51" s="51" t="s">
        <v>89</v>
      </c>
      <c r="M51" s="60">
        <f>M39/8000</f>
        <v>2.0249999999999999</v>
      </c>
      <c r="N51" s="49" t="s">
        <v>2</v>
      </c>
      <c r="O51" s="50" t="s">
        <v>89</v>
      </c>
      <c r="P51" s="41"/>
      <c r="Q51" s="71" t="s">
        <v>180</v>
      </c>
      <c r="R51" s="27"/>
      <c r="S51" s="27"/>
      <c r="T51" s="27"/>
      <c r="U51" s="69"/>
      <c r="W51" s="71" t="s">
        <v>180</v>
      </c>
      <c r="X51" s="6"/>
      <c r="Y51" s="6"/>
      <c r="Z51" s="6"/>
      <c r="AA51" s="69"/>
    </row>
    <row r="52" spans="1:27" x14ac:dyDescent="0.25">
      <c r="A52" s="41"/>
      <c r="B52" s="41"/>
      <c r="C52" s="41"/>
      <c r="D52" s="41"/>
      <c r="E52" s="41"/>
      <c r="F52" s="41"/>
      <c r="G52" s="51" t="s">
        <v>8</v>
      </c>
      <c r="H52">
        <v>52867</v>
      </c>
      <c r="I52" s="55">
        <f>H52*$I$51/$H$51</f>
        <v>347.422110104762</v>
      </c>
      <c r="J52" s="50" t="s">
        <v>53</v>
      </c>
      <c r="K52" s="41"/>
      <c r="L52" s="51" t="s">
        <v>129</v>
      </c>
      <c r="M52" s="60">
        <v>6910.5</v>
      </c>
      <c r="N52" s="49" t="s">
        <v>120</v>
      </c>
      <c r="O52" s="50" t="s">
        <v>102</v>
      </c>
      <c r="P52" s="41"/>
      <c r="Q52" s="72" t="s">
        <v>35</v>
      </c>
      <c r="R52" s="27"/>
      <c r="S52" s="27"/>
      <c r="T52" s="27">
        <f t="shared" ref="T52:T61" si="12">M90</f>
        <v>1.1E-20</v>
      </c>
      <c r="U52" s="69" t="s">
        <v>2</v>
      </c>
      <c r="W52" s="72" t="s">
        <v>35</v>
      </c>
      <c r="X52" s="6">
        <f t="shared" ref="X52:X61" si="13">R52/R$19</f>
        <v>0</v>
      </c>
      <c r="Y52" s="6">
        <f t="shared" ref="Y52:Y61" si="14">S52/S$19</f>
        <v>0</v>
      </c>
      <c r="Z52" s="6">
        <f>T52/T$30</f>
        <v>4.1066228626894645E-22</v>
      </c>
      <c r="AA52" s="69"/>
    </row>
    <row r="53" spans="1:27" x14ac:dyDescent="0.25">
      <c r="A53" s="41"/>
      <c r="B53" s="41"/>
      <c r="C53" s="41"/>
      <c r="D53" s="41"/>
      <c r="E53" s="41"/>
      <c r="F53" s="41"/>
      <c r="G53" s="51" t="s">
        <v>9</v>
      </c>
      <c r="H53">
        <v>12993.2</v>
      </c>
      <c r="I53" s="55">
        <f t="shared" ref="I53:I73" si="15">H53*$I$51/$H$51</f>
        <v>85.386440709955068</v>
      </c>
      <c r="J53" s="50" t="s">
        <v>53</v>
      </c>
      <c r="K53" s="41"/>
      <c r="L53" s="51" t="s">
        <v>206</v>
      </c>
      <c r="M53" s="60">
        <v>917.98069999999996</v>
      </c>
      <c r="N53" s="49" t="s">
        <v>120</v>
      </c>
      <c r="O53" s="50" t="s">
        <v>104</v>
      </c>
      <c r="P53" s="41"/>
      <c r="Q53" s="72" t="s">
        <v>33</v>
      </c>
      <c r="R53" s="27"/>
      <c r="S53" s="27"/>
      <c r="T53" s="27">
        <f t="shared" si="12"/>
        <v>5.3000000000000001E-31</v>
      </c>
      <c r="U53" s="69" t="s">
        <v>2</v>
      </c>
      <c r="W53" s="72" t="s">
        <v>33</v>
      </c>
      <c r="X53" s="6">
        <f t="shared" si="13"/>
        <v>0</v>
      </c>
      <c r="Y53" s="6">
        <f t="shared" si="14"/>
        <v>0</v>
      </c>
      <c r="Z53" s="6">
        <f t="shared" ref="Z53:Z61" si="16">T53/T$30</f>
        <v>1.9786455611140147E-32</v>
      </c>
      <c r="AA53" s="69" t="s">
        <v>2</v>
      </c>
    </row>
    <row r="54" spans="1:27" x14ac:dyDescent="0.25">
      <c r="A54" s="41"/>
      <c r="B54" s="41"/>
      <c r="C54" s="41"/>
      <c r="D54" s="41"/>
      <c r="E54" s="41"/>
      <c r="F54" s="41"/>
      <c r="G54" s="51" t="s">
        <v>24</v>
      </c>
      <c r="H54">
        <v>1.24913E-2</v>
      </c>
      <c r="I54" s="55">
        <f t="shared" si="15"/>
        <v>8.2088142015843791E-5</v>
      </c>
      <c r="J54" s="50" t="s">
        <v>53</v>
      </c>
      <c r="K54" s="41"/>
      <c r="L54" s="51" t="s">
        <v>105</v>
      </c>
      <c r="M54" s="60">
        <v>31.528300000000002</v>
      </c>
      <c r="N54" s="49" t="s">
        <v>106</v>
      </c>
      <c r="O54" s="50" t="s">
        <v>161</v>
      </c>
      <c r="P54" s="41"/>
      <c r="Q54" s="72" t="s">
        <v>179</v>
      </c>
      <c r="R54" s="27"/>
      <c r="S54" s="27"/>
      <c r="T54" s="27">
        <f t="shared" si="12"/>
        <v>2.5883309999999998E-22</v>
      </c>
      <c r="U54" s="69" t="s">
        <v>2</v>
      </c>
      <c r="W54" s="72" t="s">
        <v>179</v>
      </c>
      <c r="X54" s="6">
        <f t="shared" si="13"/>
        <v>0</v>
      </c>
      <c r="Y54" s="6">
        <f t="shared" si="14"/>
        <v>0</v>
      </c>
      <c r="Z54" s="6">
        <f t="shared" si="16"/>
        <v>9.6629993280071667E-24</v>
      </c>
      <c r="AA54" s="69" t="s">
        <v>2</v>
      </c>
    </row>
    <row r="55" spans="1:27" x14ac:dyDescent="0.25">
      <c r="A55" s="41"/>
      <c r="B55" s="41"/>
      <c r="C55" s="41"/>
      <c r="D55" s="41"/>
      <c r="E55" s="41"/>
      <c r="F55" s="41"/>
      <c r="G55" s="51" t="s">
        <v>25</v>
      </c>
      <c r="H55" s="1">
        <v>5.0607199999999998E-7</v>
      </c>
      <c r="I55" s="55">
        <f t="shared" si="15"/>
        <v>3.3257155144974579E-9</v>
      </c>
      <c r="J55" s="50" t="s">
        <v>53</v>
      </c>
      <c r="K55" s="41"/>
      <c r="L55" s="51" t="s">
        <v>105</v>
      </c>
      <c r="M55" s="60">
        <v>1.1034E-3</v>
      </c>
      <c r="N55" s="49" t="s">
        <v>106</v>
      </c>
      <c r="O55" s="50" t="s">
        <v>108</v>
      </c>
      <c r="P55" s="41"/>
      <c r="Q55" s="72" t="s">
        <v>169</v>
      </c>
      <c r="R55" s="27"/>
      <c r="S55" s="27"/>
      <c r="T55" s="27">
        <f t="shared" si="12"/>
        <v>5.3359999999999999E-23</v>
      </c>
      <c r="U55" s="69" t="s">
        <v>2</v>
      </c>
      <c r="W55" s="72" t="s">
        <v>169</v>
      </c>
      <c r="X55" s="6">
        <f t="shared" si="13"/>
        <v>0</v>
      </c>
      <c r="Y55" s="6">
        <f t="shared" si="14"/>
        <v>0</v>
      </c>
      <c r="Z55" s="6">
        <f t="shared" si="16"/>
        <v>1.9920854177555436E-24</v>
      </c>
      <c r="AA55" s="69" t="s">
        <v>2</v>
      </c>
    </row>
    <row r="56" spans="1:27" x14ac:dyDescent="0.25">
      <c r="A56" s="41"/>
      <c r="B56" s="41"/>
      <c r="C56" s="41"/>
      <c r="D56" s="41"/>
      <c r="E56" s="41"/>
      <c r="F56" s="41"/>
      <c r="G56" s="51" t="s">
        <v>27</v>
      </c>
      <c r="H56">
        <v>10489.805</v>
      </c>
      <c r="I56" s="55">
        <f t="shared" si="15"/>
        <v>68.935067011320541</v>
      </c>
      <c r="J56" s="50" t="s">
        <v>109</v>
      </c>
      <c r="K56" s="41"/>
      <c r="L56" s="48" t="s">
        <v>44</v>
      </c>
      <c r="M56" s="49"/>
      <c r="N56" s="49"/>
      <c r="O56" s="50"/>
      <c r="P56" s="41"/>
      <c r="Q56" s="72" t="s">
        <v>48</v>
      </c>
      <c r="R56" s="27"/>
      <c r="S56" s="27"/>
      <c r="T56" s="27">
        <f t="shared" si="12"/>
        <v>7.6771100000000003E-18</v>
      </c>
      <c r="U56" s="69" t="s">
        <v>2</v>
      </c>
      <c r="W56" s="72" t="s">
        <v>48</v>
      </c>
      <c r="X56" s="6">
        <f t="shared" si="13"/>
        <v>0</v>
      </c>
      <c r="Y56" s="6">
        <f t="shared" si="14"/>
        <v>0</v>
      </c>
      <c r="Z56" s="6">
        <f t="shared" si="16"/>
        <v>2.8660904950347194E-19</v>
      </c>
      <c r="AA56" s="69" t="s">
        <v>2</v>
      </c>
    </row>
    <row r="57" spans="1:27" x14ac:dyDescent="0.25">
      <c r="A57" s="41"/>
      <c r="B57" s="41"/>
      <c r="C57" s="41"/>
      <c r="D57" s="41"/>
      <c r="E57" s="41"/>
      <c r="F57" s="41"/>
      <c r="G57" s="51" t="s">
        <v>28</v>
      </c>
      <c r="H57">
        <v>686.95916501709553</v>
      </c>
      <c r="I57" s="55">
        <f t="shared" si="15"/>
        <v>4.5144381687261381</v>
      </c>
      <c r="J57" s="50" t="s">
        <v>53</v>
      </c>
      <c r="K57" s="41"/>
      <c r="L57" s="51" t="s">
        <v>60</v>
      </c>
      <c r="M57" s="64">
        <v>22358</v>
      </c>
      <c r="N57" s="49" t="s">
        <v>53</v>
      </c>
      <c r="O57" s="50"/>
      <c r="P57" s="41"/>
      <c r="Q57" s="72" t="s">
        <v>117</v>
      </c>
      <c r="R57" s="27"/>
      <c r="S57" s="27"/>
      <c r="T57" s="27">
        <f t="shared" si="12"/>
        <v>2.6505799999999999E-2</v>
      </c>
      <c r="U57" s="69" t="s">
        <v>2</v>
      </c>
      <c r="W57" s="72" t="s">
        <v>117</v>
      </c>
      <c r="X57" s="6">
        <f t="shared" si="13"/>
        <v>0</v>
      </c>
      <c r="Y57" s="6">
        <f t="shared" si="14"/>
        <v>0</v>
      </c>
      <c r="Z57" s="6">
        <f t="shared" si="16"/>
        <v>9.8953931158067641E-4</v>
      </c>
      <c r="AA57" s="69" t="s">
        <v>2</v>
      </c>
    </row>
    <row r="58" spans="1:27" x14ac:dyDescent="0.25">
      <c r="A58" s="41"/>
      <c r="B58" s="41"/>
      <c r="C58" s="41"/>
      <c r="D58" s="41"/>
      <c r="E58" s="41"/>
      <c r="F58" s="41"/>
      <c r="G58" s="48" t="s">
        <v>87</v>
      </c>
      <c r="I58" s="55">
        <f t="shared" si="15"/>
        <v>0</v>
      </c>
      <c r="J58" s="50"/>
      <c r="K58" s="41"/>
      <c r="L58" s="51" t="s">
        <v>166</v>
      </c>
      <c r="M58" s="64">
        <v>36.564999999999998</v>
      </c>
      <c r="N58" s="49" t="s">
        <v>109</v>
      </c>
      <c r="O58" s="50">
        <v>0.57718000000000003</v>
      </c>
      <c r="P58" s="41"/>
      <c r="Q58" s="72" t="s">
        <v>115</v>
      </c>
      <c r="R58" s="27"/>
      <c r="S58" s="27"/>
      <c r="T58" s="27">
        <f t="shared" si="12"/>
        <v>7.2349999999999997E-21</v>
      </c>
      <c r="U58" s="69" t="s">
        <v>2</v>
      </c>
      <c r="W58" s="72" t="s">
        <v>115</v>
      </c>
      <c r="X58" s="6">
        <f t="shared" si="13"/>
        <v>0</v>
      </c>
      <c r="Y58" s="6">
        <f t="shared" si="14"/>
        <v>0</v>
      </c>
      <c r="Z58" s="6">
        <f t="shared" si="16"/>
        <v>2.7010378555962069E-22</v>
      </c>
      <c r="AA58" s="69" t="s">
        <v>2</v>
      </c>
    </row>
    <row r="59" spans="1:27" x14ac:dyDescent="0.25">
      <c r="A59" s="41"/>
      <c r="B59" s="41"/>
      <c r="C59" s="41"/>
      <c r="D59" s="41"/>
      <c r="E59" s="41"/>
      <c r="F59" s="41"/>
      <c r="G59" s="51" t="s">
        <v>26</v>
      </c>
      <c r="H59">
        <v>90856.7</v>
      </c>
      <c r="I59" s="55">
        <f t="shared" si="15"/>
        <v>597.07618043685716</v>
      </c>
      <c r="J59" s="50" t="s">
        <v>53</v>
      </c>
      <c r="K59" s="41"/>
      <c r="L59" s="51" t="s">
        <v>162</v>
      </c>
      <c r="M59" s="49">
        <v>26.786000000000001</v>
      </c>
      <c r="N59" s="49" t="s">
        <v>109</v>
      </c>
      <c r="O59" s="50">
        <v>0.42281999999999997</v>
      </c>
      <c r="P59" s="41"/>
      <c r="Q59" s="72" t="s">
        <v>114</v>
      </c>
      <c r="R59" s="27"/>
      <c r="S59" s="27"/>
      <c r="T59" s="27">
        <f t="shared" si="12"/>
        <v>7.9870000000000003E-19</v>
      </c>
      <c r="U59" s="69" t="s">
        <v>2</v>
      </c>
      <c r="W59" s="72" t="s">
        <v>114</v>
      </c>
      <c r="X59" s="6">
        <f t="shared" si="13"/>
        <v>0</v>
      </c>
      <c r="Y59" s="6">
        <f t="shared" si="14"/>
        <v>0</v>
      </c>
      <c r="Z59" s="6">
        <f t="shared" si="16"/>
        <v>2.9817815276637049E-20</v>
      </c>
      <c r="AA59" s="69" t="s">
        <v>2</v>
      </c>
    </row>
    <row r="60" spans="1:27" x14ac:dyDescent="0.25">
      <c r="A60" s="41"/>
      <c r="B60" s="41"/>
      <c r="C60" s="41"/>
      <c r="D60" s="41"/>
      <c r="E60" s="41"/>
      <c r="F60" s="41"/>
      <c r="G60" s="51" t="s">
        <v>29</v>
      </c>
      <c r="H60">
        <v>73592.514460000006</v>
      </c>
      <c r="I60" s="55">
        <f t="shared" si="15"/>
        <v>483.62242347037682</v>
      </c>
      <c r="J60" s="50" t="s">
        <v>109</v>
      </c>
      <c r="K60" s="41"/>
      <c r="L60" s="51"/>
      <c r="M60" s="49"/>
      <c r="N60" s="49"/>
      <c r="O60" s="50"/>
      <c r="P60" s="41"/>
      <c r="Q60" s="72" t="s">
        <v>118</v>
      </c>
      <c r="R60" s="27"/>
      <c r="S60" s="27"/>
      <c r="T60" s="27">
        <f t="shared" si="12"/>
        <v>1.66E-5</v>
      </c>
      <c r="U60" s="69" t="s">
        <v>2</v>
      </c>
      <c r="W60" s="72" t="s">
        <v>118</v>
      </c>
      <c r="X60" s="6">
        <f t="shared" si="13"/>
        <v>0</v>
      </c>
      <c r="Y60" s="6">
        <f t="shared" si="14"/>
        <v>0</v>
      </c>
      <c r="Z60" s="6">
        <f t="shared" si="16"/>
        <v>6.1972672291495559E-7</v>
      </c>
      <c r="AA60" s="69" t="s">
        <v>2</v>
      </c>
    </row>
    <row r="61" spans="1:27" ht="15.75" thickBot="1" x14ac:dyDescent="0.3">
      <c r="A61" s="41"/>
      <c r="B61" s="41"/>
      <c r="C61" s="41"/>
      <c r="D61" s="41"/>
      <c r="E61" s="41"/>
      <c r="F61" s="41"/>
      <c r="G61" s="51" t="s">
        <v>5</v>
      </c>
      <c r="H61">
        <v>26225.439846794783</v>
      </c>
      <c r="I61" s="55">
        <f>H61*$I$51/$H$51</f>
        <v>172.34376170387858</v>
      </c>
      <c r="J61" s="50" t="s">
        <v>2</v>
      </c>
      <c r="K61" s="41"/>
      <c r="L61" s="48" t="s">
        <v>184</v>
      </c>
      <c r="M61" s="49"/>
      <c r="N61" s="49"/>
      <c r="O61" s="50"/>
      <c r="P61" s="41"/>
      <c r="Q61" s="73" t="s">
        <v>116</v>
      </c>
      <c r="R61" s="27"/>
      <c r="S61" s="27"/>
      <c r="T61" s="27">
        <f t="shared" si="12"/>
        <v>1.06303E-7</v>
      </c>
      <c r="U61" s="69" t="s">
        <v>2</v>
      </c>
      <c r="W61" s="73" t="s">
        <v>116</v>
      </c>
      <c r="X61" s="6">
        <f t="shared" si="13"/>
        <v>0</v>
      </c>
      <c r="Y61" s="6">
        <f t="shared" si="14"/>
        <v>0</v>
      </c>
      <c r="Z61" s="6">
        <f t="shared" si="16"/>
        <v>3.9686030015679827E-9</v>
      </c>
      <c r="AA61" s="69" t="s">
        <v>2</v>
      </c>
    </row>
    <row r="62" spans="1:27" x14ac:dyDescent="0.25">
      <c r="A62" s="41"/>
      <c r="B62" s="41"/>
      <c r="C62" s="41"/>
      <c r="D62" s="41"/>
      <c r="E62" s="41"/>
      <c r="F62" s="41"/>
      <c r="G62" s="51" t="s">
        <v>11</v>
      </c>
      <c r="H62">
        <v>687.70299999999997</v>
      </c>
      <c r="I62" s="55">
        <f t="shared" si="15"/>
        <v>4.5193263734536693</v>
      </c>
      <c r="J62" s="50" t="s">
        <v>2</v>
      </c>
      <c r="K62" s="41"/>
      <c r="L62" s="51" t="s">
        <v>48</v>
      </c>
      <c r="M62" s="49">
        <v>13.9375</v>
      </c>
      <c r="N62" s="49" t="s">
        <v>53</v>
      </c>
      <c r="O62" s="50"/>
      <c r="P62" s="41"/>
      <c r="Q62" s="71" t="s">
        <v>200</v>
      </c>
      <c r="R62" s="27"/>
      <c r="S62" s="27"/>
      <c r="T62" s="27"/>
      <c r="U62" s="69"/>
      <c r="W62" s="71" t="s">
        <v>200</v>
      </c>
      <c r="X62" s="6"/>
      <c r="Y62" s="6"/>
      <c r="Z62" s="6"/>
      <c r="AA62" s="69"/>
    </row>
    <row r="63" spans="1:27" x14ac:dyDescent="0.25">
      <c r="A63" s="41"/>
      <c r="B63" s="41"/>
      <c r="C63" s="41"/>
      <c r="D63" s="41"/>
      <c r="E63" s="41"/>
      <c r="F63" s="41"/>
      <c r="G63" s="51" t="s">
        <v>13</v>
      </c>
      <c r="H63">
        <v>0.87187800000000004</v>
      </c>
      <c r="I63" s="55">
        <f t="shared" si="15"/>
        <v>5.729655446950266E-3</v>
      </c>
      <c r="J63" s="50" t="s">
        <v>2</v>
      </c>
      <c r="K63" s="41"/>
      <c r="L63" s="51"/>
      <c r="M63" s="49"/>
      <c r="N63" s="49"/>
      <c r="O63" s="50"/>
      <c r="P63" s="41"/>
      <c r="Q63" s="68" t="s">
        <v>3</v>
      </c>
      <c r="R63" s="27"/>
      <c r="S63" s="27"/>
      <c r="T63" s="27"/>
      <c r="U63" s="69"/>
      <c r="W63" s="68" t="s">
        <v>3</v>
      </c>
      <c r="X63" s="6"/>
      <c r="Y63" s="6"/>
      <c r="Z63" s="6"/>
      <c r="AA63" s="69"/>
    </row>
    <row r="64" spans="1:27" x14ac:dyDescent="0.25">
      <c r="A64" s="41"/>
      <c r="B64" s="41"/>
      <c r="C64" s="41"/>
      <c r="D64" s="41"/>
      <c r="E64" s="41"/>
      <c r="F64" s="41"/>
      <c r="G64" s="51" t="s">
        <v>15</v>
      </c>
      <c r="H64">
        <v>0.90147565399999996</v>
      </c>
      <c r="I64" s="55">
        <f t="shared" si="15"/>
        <v>5.9241601362050112E-3</v>
      </c>
      <c r="J64" s="50" t="s">
        <v>2</v>
      </c>
      <c r="K64" s="41"/>
      <c r="L64" s="48" t="s">
        <v>142</v>
      </c>
      <c r="M64" s="49"/>
      <c r="N64" s="49"/>
      <c r="O64" s="50"/>
      <c r="P64" s="41"/>
      <c r="Q64" s="70" t="s">
        <v>10</v>
      </c>
      <c r="R64" s="27"/>
      <c r="S64" s="27">
        <v>90.746915395722198</v>
      </c>
      <c r="T64" s="27">
        <v>100.55281821326324</v>
      </c>
      <c r="U64" s="69" t="s">
        <v>6</v>
      </c>
      <c r="W64" s="70" t="s">
        <v>10</v>
      </c>
      <c r="X64" s="6">
        <f t="shared" ref="X64:X72" si="17">R64/R$19</f>
        <v>0</v>
      </c>
      <c r="Y64" s="6">
        <f t="shared" ref="Y64:Y72" si="18">S64/S$19</f>
        <v>3.3878487043874483</v>
      </c>
      <c r="Z64" s="6">
        <f>T64/T$30</f>
        <v>3.7539318380222215</v>
      </c>
      <c r="AA64" s="69" t="s">
        <v>2</v>
      </c>
    </row>
    <row r="65" spans="1:27" x14ac:dyDescent="0.25">
      <c r="A65" s="41"/>
      <c r="B65" s="41"/>
      <c r="C65" s="41"/>
      <c r="D65" s="41"/>
      <c r="E65" s="41"/>
      <c r="F65" s="41"/>
      <c r="G65" s="51" t="s">
        <v>14</v>
      </c>
      <c r="H65">
        <v>24.165873000000001</v>
      </c>
      <c r="I65" s="55">
        <f t="shared" si="15"/>
        <v>0.15880906028682726</v>
      </c>
      <c r="J65" s="50" t="s">
        <v>2</v>
      </c>
      <c r="K65" s="41"/>
      <c r="L65" s="51" t="s">
        <v>163</v>
      </c>
      <c r="M65" s="49">
        <f>M57</f>
        <v>22358</v>
      </c>
      <c r="N65" s="49" t="s">
        <v>2</v>
      </c>
      <c r="O65" s="50"/>
      <c r="P65" s="41"/>
      <c r="Q65" s="70" t="s">
        <v>121</v>
      </c>
      <c r="R65" s="27"/>
      <c r="S65" s="27">
        <v>597.07618043685716</v>
      </c>
      <c r="T65" s="27">
        <v>661.59485828393235</v>
      </c>
      <c r="U65" s="69" t="s">
        <v>6</v>
      </c>
      <c r="W65" s="70" t="s">
        <v>121</v>
      </c>
      <c r="X65" s="6">
        <f t="shared" si="17"/>
        <v>0</v>
      </c>
      <c r="Y65" s="6">
        <f t="shared" si="18"/>
        <v>22.290606303175434</v>
      </c>
      <c r="Z65" s="6">
        <f t="shared" ref="Z65:Z71" si="19">T65/T$30</f>
        <v>24.699277916969027</v>
      </c>
      <c r="AA65" s="69" t="s">
        <v>2</v>
      </c>
    </row>
    <row r="66" spans="1:27" x14ac:dyDescent="0.25">
      <c r="A66" s="41"/>
      <c r="B66" s="41"/>
      <c r="C66" s="41"/>
      <c r="D66" s="41"/>
      <c r="E66" s="41"/>
      <c r="F66" s="41"/>
      <c r="G66" s="51" t="s">
        <v>20</v>
      </c>
      <c r="H66" s="1">
        <v>2.3121E-10</v>
      </c>
      <c r="I66" s="55">
        <f t="shared" si="15"/>
        <v>1.5194254653625517E-12</v>
      </c>
      <c r="J66" s="50" t="s">
        <v>2</v>
      </c>
      <c r="K66" s="41"/>
      <c r="L66" s="51" t="s">
        <v>164</v>
      </c>
      <c r="M66" s="64">
        <v>61.85</v>
      </c>
      <c r="N66" s="49" t="s">
        <v>109</v>
      </c>
      <c r="O66" s="50" t="s">
        <v>165</v>
      </c>
      <c r="P66" s="41"/>
      <c r="Q66" s="70" t="s">
        <v>4</v>
      </c>
      <c r="R66" s="27"/>
      <c r="S66" s="66">
        <v>185.239</v>
      </c>
      <c r="T66" s="66">
        <v>205.25550000000001</v>
      </c>
      <c r="U66" s="69" t="s">
        <v>6</v>
      </c>
      <c r="W66" s="70" t="s">
        <v>4</v>
      </c>
      <c r="X66" s="6">
        <f t="shared" si="17"/>
        <v>0</v>
      </c>
      <c r="Y66" s="6">
        <f t="shared" si="18"/>
        <v>6.9155155678339426</v>
      </c>
      <c r="Z66" s="6">
        <f t="shared" si="19"/>
        <v>7.6627902635705221</v>
      </c>
      <c r="AA66" s="69" t="s">
        <v>2</v>
      </c>
    </row>
    <row r="67" spans="1:27" x14ac:dyDescent="0.25">
      <c r="A67" s="41"/>
      <c r="B67" s="41"/>
      <c r="C67" s="41"/>
      <c r="D67" s="41"/>
      <c r="E67" s="41"/>
      <c r="F67" s="41"/>
      <c r="G67" s="51" t="s">
        <v>21</v>
      </c>
      <c r="H67" s="1">
        <v>4.9151200000000005E-4</v>
      </c>
      <c r="I67" s="55">
        <f t="shared" si="15"/>
        <v>3.2300326514046907E-6</v>
      </c>
      <c r="J67" s="50" t="s">
        <v>2</v>
      </c>
      <c r="K67" s="41"/>
      <c r="L67" s="48" t="s">
        <v>181</v>
      </c>
      <c r="M67" s="49"/>
      <c r="N67" s="49"/>
      <c r="O67" s="50"/>
      <c r="P67" s="41"/>
      <c r="Q67" s="70" t="s">
        <v>8</v>
      </c>
      <c r="R67" s="27"/>
      <c r="S67" s="27">
        <v>347.422110104762</v>
      </c>
      <c r="T67" s="27">
        <v>384.96374370736174</v>
      </c>
      <c r="U67" s="69" t="s">
        <v>6</v>
      </c>
      <c r="W67" s="70" t="s">
        <v>8</v>
      </c>
      <c r="X67" s="6">
        <f t="shared" si="17"/>
        <v>0</v>
      </c>
      <c r="Y67" s="6">
        <f t="shared" si="18"/>
        <v>12.97028709418211</v>
      </c>
      <c r="Z67" s="6">
        <f t="shared" si="19"/>
        <v>14.371826465592537</v>
      </c>
      <c r="AA67" s="69" t="s">
        <v>2</v>
      </c>
    </row>
    <row r="68" spans="1:27" x14ac:dyDescent="0.25">
      <c r="A68" s="41"/>
      <c r="B68" s="41"/>
      <c r="C68" s="41"/>
      <c r="D68" s="41"/>
      <c r="E68" s="41"/>
      <c r="F68" s="41"/>
      <c r="G68" s="51" t="s">
        <v>22</v>
      </c>
      <c r="H68" s="1">
        <v>0.49118329999999999</v>
      </c>
      <c r="I68" s="55">
        <f t="shared" si="15"/>
        <v>3.22787255819737E-3</v>
      </c>
      <c r="J68" s="50" t="s">
        <v>2</v>
      </c>
      <c r="K68" s="41"/>
      <c r="L68" s="51" t="s">
        <v>36</v>
      </c>
      <c r="M68" s="49">
        <v>9.3672700000000002E-5</v>
      </c>
      <c r="N68" s="49" t="s">
        <v>53</v>
      </c>
      <c r="O68" s="50"/>
      <c r="P68" s="41"/>
      <c r="Q68" s="70" t="s">
        <v>9</v>
      </c>
      <c r="R68" s="27"/>
      <c r="S68" s="27">
        <v>85.386440709955068</v>
      </c>
      <c r="T68" s="27">
        <v>94.61</v>
      </c>
      <c r="U68" s="69" t="s">
        <v>6</v>
      </c>
      <c r="W68" s="70" t="s">
        <v>9</v>
      </c>
      <c r="X68" s="6">
        <f t="shared" si="17"/>
        <v>0</v>
      </c>
      <c r="Y68" s="6">
        <f t="shared" si="18"/>
        <v>3.1877264507561809</v>
      </c>
      <c r="Z68" s="6">
        <f>T68/T$30</f>
        <v>3.5320689912640928</v>
      </c>
      <c r="AA68" s="69" t="s">
        <v>2</v>
      </c>
    </row>
    <row r="69" spans="1:27" x14ac:dyDescent="0.25">
      <c r="A69" s="41"/>
      <c r="B69" s="41"/>
      <c r="C69" s="41"/>
      <c r="D69" s="41"/>
      <c r="E69" s="41"/>
      <c r="F69" s="41"/>
      <c r="G69" s="51" t="s">
        <v>23</v>
      </c>
      <c r="H69" s="1">
        <v>4.4740090000000001E-3</v>
      </c>
      <c r="I69" s="55">
        <f t="shared" si="15"/>
        <v>2.9401510344973165E-5</v>
      </c>
      <c r="J69" s="50" t="s">
        <v>2</v>
      </c>
      <c r="K69" s="41"/>
      <c r="L69" s="51" t="s">
        <v>35</v>
      </c>
      <c r="M69" s="49">
        <v>10778.31</v>
      </c>
      <c r="N69" s="49" t="s">
        <v>53</v>
      </c>
      <c r="O69" s="50" t="s">
        <v>168</v>
      </c>
      <c r="P69" s="41"/>
      <c r="Q69" s="70" t="s">
        <v>24</v>
      </c>
      <c r="R69" s="27"/>
      <c r="S69" s="27">
        <v>8.2088142015843791E-5</v>
      </c>
      <c r="T69" s="27">
        <v>9.0958397710703609E-5</v>
      </c>
      <c r="U69" s="69" t="s">
        <v>6</v>
      </c>
      <c r="W69" s="70" t="s">
        <v>24</v>
      </c>
      <c r="X69" s="6">
        <f t="shared" si="17"/>
        <v>0</v>
      </c>
      <c r="Y69" s="6">
        <f t="shared" si="18"/>
        <v>3.0645912796178522E-6</v>
      </c>
      <c r="Z69" s="6">
        <f t="shared" si="19"/>
        <v>3.3957439599306955E-6</v>
      </c>
      <c r="AA69" s="69" t="s">
        <v>2</v>
      </c>
    </row>
    <row r="70" spans="1:27" x14ac:dyDescent="0.25">
      <c r="A70" s="41"/>
      <c r="B70" s="41"/>
      <c r="C70" s="41"/>
      <c r="D70" s="41"/>
      <c r="E70" s="41"/>
      <c r="F70" s="41"/>
      <c r="G70" s="51" t="s">
        <v>12</v>
      </c>
      <c r="H70">
        <v>7.2999999999999995E-2</v>
      </c>
      <c r="I70" s="55">
        <f t="shared" si="15"/>
        <v>4.7972864050632009E-4</v>
      </c>
      <c r="J70" s="50" t="s">
        <v>109</v>
      </c>
      <c r="K70" s="41"/>
      <c r="L70" s="51" t="s">
        <v>71</v>
      </c>
      <c r="M70" s="49">
        <v>20248.439999999999</v>
      </c>
      <c r="N70" s="49" t="s">
        <v>53</v>
      </c>
      <c r="O70" s="50" t="s">
        <v>127</v>
      </c>
      <c r="P70" s="41"/>
      <c r="Q70" s="70" t="s">
        <v>25</v>
      </c>
      <c r="R70" s="27"/>
      <c r="S70" s="27">
        <v>3.3257155144974579E-9</v>
      </c>
      <c r="T70" s="27">
        <v>3.6850846786364267E-9</v>
      </c>
      <c r="U70" s="69" t="s">
        <v>6</v>
      </c>
      <c r="W70" s="70" t="s">
        <v>25</v>
      </c>
      <c r="X70" s="6">
        <f t="shared" si="17"/>
        <v>0</v>
      </c>
      <c r="Y70" s="6">
        <f t="shared" si="18"/>
        <v>1.2415872151487559E-10</v>
      </c>
      <c r="Z70" s="6">
        <f t="shared" si="19"/>
        <v>1.3757502720213643E-10</v>
      </c>
      <c r="AA70" s="69" t="s">
        <v>2</v>
      </c>
    </row>
    <row r="71" spans="1:27" x14ac:dyDescent="0.25">
      <c r="A71" s="41"/>
      <c r="B71" s="41"/>
      <c r="C71" s="41"/>
      <c r="D71" s="41"/>
      <c r="E71" s="41"/>
      <c r="F71" s="41"/>
      <c r="G71" s="51" t="s">
        <v>17</v>
      </c>
      <c r="H71">
        <v>25.57</v>
      </c>
      <c r="I71" s="55">
        <f t="shared" si="15"/>
        <v>0.16803645668146036</v>
      </c>
      <c r="J71" s="50" t="s">
        <v>109</v>
      </c>
      <c r="K71" s="41"/>
      <c r="L71" s="54" t="s">
        <v>119</v>
      </c>
      <c r="M71" s="49">
        <v>0.32231533000000001</v>
      </c>
      <c r="N71" s="49" t="s">
        <v>53</v>
      </c>
      <c r="O71" s="50"/>
      <c r="P71" s="41"/>
      <c r="Q71" s="70" t="s">
        <v>27</v>
      </c>
      <c r="R71" s="27"/>
      <c r="S71" s="27">
        <v>68.935067011320541</v>
      </c>
      <c r="T71" s="27">
        <v>76.38403169387712</v>
      </c>
      <c r="U71" s="69" t="s">
        <v>16</v>
      </c>
      <c r="W71" s="70" t="s">
        <v>27</v>
      </c>
      <c r="X71" s="6">
        <f t="shared" si="17"/>
        <v>0</v>
      </c>
      <c r="Y71" s="6">
        <f t="shared" si="18"/>
        <v>2.5735483839065383</v>
      </c>
      <c r="Z71" s="6">
        <f t="shared" si="19"/>
        <v>2.8516400990770223</v>
      </c>
      <c r="AA71" s="69" t="s">
        <v>208</v>
      </c>
    </row>
    <row r="72" spans="1:27" x14ac:dyDescent="0.25">
      <c r="A72" s="41"/>
      <c r="B72" s="41"/>
      <c r="C72" s="41"/>
      <c r="D72" s="41"/>
      <c r="E72" s="41"/>
      <c r="F72" s="41"/>
      <c r="G72" s="51" t="s">
        <v>18</v>
      </c>
      <c r="H72">
        <v>88.22</v>
      </c>
      <c r="I72" s="55">
        <f t="shared" si="15"/>
        <v>0.57974877623928167</v>
      </c>
      <c r="J72" s="50" t="s">
        <v>109</v>
      </c>
      <c r="K72" s="41"/>
      <c r="L72" s="54" t="s">
        <v>123</v>
      </c>
      <c r="M72" s="49">
        <v>73094.483761543699</v>
      </c>
      <c r="N72" s="49" t="s">
        <v>53</v>
      </c>
      <c r="O72" s="50"/>
      <c r="P72" s="41"/>
      <c r="Q72" s="70" t="s">
        <v>28</v>
      </c>
      <c r="R72" s="27"/>
      <c r="S72" s="27">
        <v>4.5144381687261381</v>
      </c>
      <c r="T72" s="27">
        <v>5.0022579669560292</v>
      </c>
      <c r="U72" s="69" t="s">
        <v>6</v>
      </c>
      <c r="W72" s="70" t="s">
        <v>28</v>
      </c>
      <c r="X72" s="6">
        <f t="shared" si="17"/>
        <v>0</v>
      </c>
      <c r="Y72" s="6">
        <f t="shared" si="18"/>
        <v>0.16853722723535197</v>
      </c>
      <c r="Z72" s="6">
        <f>T72/T$30</f>
        <v>0.18674897211065591</v>
      </c>
      <c r="AA72" s="69" t="s">
        <v>2</v>
      </c>
    </row>
    <row r="73" spans="1:27" ht="15.75" thickBot="1" x14ac:dyDescent="0.3">
      <c r="A73" s="41"/>
      <c r="B73" s="41"/>
      <c r="C73" s="41"/>
      <c r="D73" s="41"/>
      <c r="E73" s="41"/>
      <c r="F73" s="41"/>
      <c r="G73" s="56" t="s">
        <v>19</v>
      </c>
      <c r="H73">
        <v>0.38300000000000001</v>
      </c>
      <c r="I73" s="55">
        <f t="shared" si="15"/>
        <v>2.5169324563550769E-3</v>
      </c>
      <c r="J73" s="58" t="s">
        <v>109</v>
      </c>
      <c r="K73" s="41"/>
      <c r="L73" s="54" t="s">
        <v>179</v>
      </c>
      <c r="M73" s="49">
        <v>1.52425E-13</v>
      </c>
      <c r="N73" s="49" t="s">
        <v>53</v>
      </c>
      <c r="O73" s="50"/>
      <c r="P73" s="41"/>
      <c r="Q73" s="70" t="s">
        <v>26</v>
      </c>
      <c r="R73" s="27"/>
      <c r="S73" s="27">
        <v>597.07618043685716</v>
      </c>
      <c r="T73" s="27">
        <v>661.59485828393235</v>
      </c>
      <c r="U73" s="69" t="s">
        <v>6</v>
      </c>
      <c r="W73" s="70" t="s">
        <v>26</v>
      </c>
      <c r="X73" s="6">
        <f>R73/R$19</f>
        <v>0</v>
      </c>
      <c r="Y73" s="6">
        <f t="shared" ref="Y73" si="20">S73/S$19</f>
        <v>22.290606303175434</v>
      </c>
      <c r="Z73" s="6">
        <f t="shared" ref="Z73" si="21">T73/T$30</f>
        <v>24.699277916969027</v>
      </c>
      <c r="AA73" s="69" t="s">
        <v>2</v>
      </c>
    </row>
    <row r="74" spans="1:27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54" t="s">
        <v>169</v>
      </c>
      <c r="M74" s="49">
        <v>7.7350300000000004E-19</v>
      </c>
      <c r="N74" s="49" t="s">
        <v>53</v>
      </c>
      <c r="O74" s="50"/>
      <c r="P74" s="41"/>
      <c r="Q74" s="70" t="s">
        <v>29</v>
      </c>
      <c r="R74" s="27"/>
      <c r="S74" s="27">
        <v>483.62242347037682</v>
      </c>
      <c r="T74" s="27">
        <v>535.88154946109591</v>
      </c>
      <c r="U74" s="69" t="s">
        <v>16</v>
      </c>
      <c r="W74" s="70" t="s">
        <v>29</v>
      </c>
      <c r="X74" s="6">
        <f>R74/R$19</f>
        <v>0</v>
      </c>
      <c r="Y74" s="6">
        <f>S74/S$19</f>
        <v>18.05504455575214</v>
      </c>
      <c r="Z74" s="6">
        <f>T74/T$30</f>
        <v>20.006031115549014</v>
      </c>
      <c r="AA74" s="69" t="s">
        <v>208</v>
      </c>
    </row>
    <row r="75" spans="1:27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54" t="s">
        <v>48</v>
      </c>
      <c r="M75" s="49">
        <v>3.2017300000000002E-10</v>
      </c>
      <c r="N75" s="49" t="s">
        <v>53</v>
      </c>
      <c r="O75" s="50"/>
      <c r="P75" s="41"/>
      <c r="Q75" s="68" t="s">
        <v>87</v>
      </c>
      <c r="R75" s="27"/>
      <c r="W75" s="68" t="s">
        <v>87</v>
      </c>
      <c r="X75" s="6"/>
      <c r="Y75" s="6"/>
      <c r="Z75" s="6"/>
    </row>
    <row r="76" spans="1:27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54" t="s">
        <v>124</v>
      </c>
      <c r="M76" s="49">
        <v>2.4576100000000001E-24</v>
      </c>
      <c r="N76" s="49" t="s">
        <v>53</v>
      </c>
      <c r="O76" s="50"/>
      <c r="P76" s="41"/>
      <c r="Q76" s="70" t="s">
        <v>5</v>
      </c>
      <c r="R76" s="27"/>
      <c r="S76" s="66">
        <v>172.34376170387858</v>
      </c>
      <c r="T76" s="66">
        <v>190.96683193285679</v>
      </c>
      <c r="U76" s="69" t="s">
        <v>6</v>
      </c>
      <c r="W76" s="70" t="s">
        <v>5</v>
      </c>
      <c r="X76" s="6">
        <f>R76/R$19</f>
        <v>0</v>
      </c>
      <c r="Y76" s="6">
        <f>S76/S$19</f>
        <v>6.4340984732277526</v>
      </c>
      <c r="Z76" s="6">
        <f>T76/T$30</f>
        <v>7.129352345734965</v>
      </c>
      <c r="AA76" s="69" t="s">
        <v>2</v>
      </c>
    </row>
    <row r="77" spans="1:27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54" t="s">
        <v>170</v>
      </c>
      <c r="M77" s="49">
        <v>1.15647E-45</v>
      </c>
      <c r="N77" s="49" t="s">
        <v>53</v>
      </c>
      <c r="O77" s="50"/>
      <c r="P77" s="41"/>
      <c r="Q77" s="70" t="s">
        <v>11</v>
      </c>
      <c r="R77" s="27"/>
      <c r="S77" s="27">
        <v>4.5193263734536693</v>
      </c>
      <c r="T77" s="27">
        <v>5.0076743798358851</v>
      </c>
      <c r="U77" s="69" t="s">
        <v>6</v>
      </c>
      <c r="W77" s="70" t="s">
        <v>11</v>
      </c>
      <c r="X77" s="6">
        <f t="shared" ref="X77:X85" si="22">R77/R$19</f>
        <v>0</v>
      </c>
      <c r="Y77" s="6">
        <f t="shared" ref="Y77:Y85" si="23">S77/S$19</f>
        <v>0.16871971826527549</v>
      </c>
      <c r="Z77" s="6">
        <f t="shared" ref="Z77:Z85" si="24">T77/T$30</f>
        <v>0.18695118270125755</v>
      </c>
      <c r="AA77" s="69" t="s">
        <v>2</v>
      </c>
    </row>
    <row r="78" spans="1:27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54" t="s">
        <v>173</v>
      </c>
      <c r="M78" s="49">
        <v>1.29293E-14</v>
      </c>
      <c r="N78" s="49" t="s">
        <v>53</v>
      </c>
      <c r="O78" s="50"/>
      <c r="P78" s="41"/>
      <c r="Q78" s="70" t="s">
        <v>13</v>
      </c>
      <c r="R78" s="27"/>
      <c r="S78" s="27">
        <v>5.729655446950266E-3</v>
      </c>
      <c r="T78" s="27">
        <v>6.3487888273608701E-3</v>
      </c>
      <c r="U78" s="69" t="s">
        <v>6</v>
      </c>
      <c r="W78" s="70" t="s">
        <v>13</v>
      </c>
      <c r="X78" s="6">
        <f t="shared" si="22"/>
        <v>0</v>
      </c>
      <c r="Y78" s="6">
        <f t="shared" si="23"/>
        <v>2.1390485503435623E-4</v>
      </c>
      <c r="Z78" s="6">
        <f t="shared" si="24"/>
        <v>2.3701892135297804E-4</v>
      </c>
      <c r="AA78" s="69" t="s">
        <v>2</v>
      </c>
    </row>
    <row r="79" spans="1:27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54" t="s">
        <v>174</v>
      </c>
      <c r="M79" s="49">
        <v>7698.0069999999996</v>
      </c>
      <c r="N79" s="49" t="s">
        <v>53</v>
      </c>
      <c r="O79" s="50"/>
      <c r="P79" s="41"/>
      <c r="Q79" s="70" t="s">
        <v>15</v>
      </c>
      <c r="R79" s="27"/>
      <c r="S79" s="27">
        <v>5.9241601362050112E-3</v>
      </c>
      <c r="T79" s="27">
        <v>6.5643112456708775E-3</v>
      </c>
      <c r="U79" s="69" t="s">
        <v>6</v>
      </c>
      <c r="W79" s="70" t="s">
        <v>15</v>
      </c>
      <c r="X79" s="6">
        <f t="shared" si="22"/>
        <v>0</v>
      </c>
      <c r="Y79" s="6">
        <f t="shared" si="23"/>
        <v>2.2116628597793663E-4</v>
      </c>
      <c r="Z79" s="6">
        <f t="shared" si="24"/>
        <v>2.4506500581165073E-4</v>
      </c>
      <c r="AA79" s="69" t="s">
        <v>2</v>
      </c>
    </row>
    <row r="80" spans="1:27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54" t="s">
        <v>172</v>
      </c>
      <c r="M80" s="49">
        <v>5.3074699999999998E-23</v>
      </c>
      <c r="N80" s="49" t="s">
        <v>53</v>
      </c>
      <c r="O80" s="50"/>
      <c r="P80" s="41"/>
      <c r="Q80" s="70" t="s">
        <v>14</v>
      </c>
      <c r="R80" s="27"/>
      <c r="S80" s="27">
        <v>0.15880906028682726</v>
      </c>
      <c r="T80" s="27">
        <v>0.17596960183170321</v>
      </c>
      <c r="U80" s="69" t="s">
        <v>6</v>
      </c>
      <c r="W80" s="70" t="s">
        <v>14</v>
      </c>
      <c r="X80" s="6">
        <f t="shared" si="22"/>
        <v>0</v>
      </c>
      <c r="Y80" s="6">
        <f t="shared" si="23"/>
        <v>5.9288083434192208E-3</v>
      </c>
      <c r="Z80" s="6">
        <f t="shared" si="24"/>
        <v>6.5694617274584931E-3</v>
      </c>
      <c r="AA80" s="69" t="s">
        <v>2</v>
      </c>
    </row>
    <row r="81" spans="1:27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54" t="s">
        <v>171</v>
      </c>
      <c r="M81" s="49">
        <v>1.6953800000000001E-28</v>
      </c>
      <c r="N81" s="49" t="s">
        <v>53</v>
      </c>
      <c r="O81" s="50"/>
      <c r="P81" s="41"/>
      <c r="Q81" s="70" t="s">
        <v>20</v>
      </c>
      <c r="R81" s="27"/>
      <c r="S81" s="27">
        <v>1.5194254653625517E-12</v>
      </c>
      <c r="T81" s="27">
        <v>1.6836110840898689E-12</v>
      </c>
      <c r="U81" s="69" t="s">
        <v>6</v>
      </c>
      <c r="W81" s="70" t="s">
        <v>20</v>
      </c>
      <c r="X81" s="6">
        <f t="shared" si="22"/>
        <v>0</v>
      </c>
      <c r="Y81" s="6">
        <f t="shared" si="23"/>
        <v>5.6724612311003944E-14</v>
      </c>
      <c r="Z81" s="6">
        <f t="shared" si="24"/>
        <v>6.2854143361825907E-14</v>
      </c>
      <c r="AA81" s="69" t="s">
        <v>2</v>
      </c>
    </row>
    <row r="82" spans="1:27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54" t="s">
        <v>175</v>
      </c>
      <c r="M82" s="49">
        <v>7.42267E-29</v>
      </c>
      <c r="N82" s="49" t="s">
        <v>53</v>
      </c>
      <c r="O82" s="50"/>
      <c r="P82" s="41"/>
      <c r="Q82" s="70" t="s">
        <v>21</v>
      </c>
      <c r="R82" s="27"/>
      <c r="S82" s="27">
        <v>3.2300326514046907E-6</v>
      </c>
      <c r="T82" s="27">
        <v>3.5790625455783911E-6</v>
      </c>
      <c r="U82" s="69" t="s">
        <v>6</v>
      </c>
      <c r="W82" s="70" t="s">
        <v>21</v>
      </c>
      <c r="X82" s="6">
        <f t="shared" si="22"/>
        <v>0</v>
      </c>
      <c r="Y82" s="6">
        <f t="shared" si="23"/>
        <v>1.2058659939538155E-7</v>
      </c>
      <c r="Z82" s="6">
        <f t="shared" si="24"/>
        <v>1.3361690978788886E-7</v>
      </c>
      <c r="AA82" s="69" t="s">
        <v>2</v>
      </c>
    </row>
    <row r="83" spans="1:27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54" t="s">
        <v>176</v>
      </c>
      <c r="M83" s="49">
        <v>1.69168E-34</v>
      </c>
      <c r="N83" s="49" t="s">
        <v>53</v>
      </c>
      <c r="O83" s="50"/>
      <c r="P83" s="41"/>
      <c r="Q83" s="70" t="s">
        <v>22</v>
      </c>
      <c r="R83" s="27"/>
      <c r="S83" s="27">
        <v>3.22787255819737E-3</v>
      </c>
      <c r="T83" s="27">
        <v>0</v>
      </c>
      <c r="U83" s="69" t="s">
        <v>6</v>
      </c>
      <c r="W83" s="70" t="s">
        <v>22</v>
      </c>
      <c r="X83" s="6">
        <f t="shared" si="22"/>
        <v>0</v>
      </c>
      <c r="Y83" s="6">
        <f t="shared" si="23"/>
        <v>1.2050595677582953E-4</v>
      </c>
      <c r="Z83" s="6">
        <f t="shared" si="24"/>
        <v>0</v>
      </c>
      <c r="AA83" s="69" t="s">
        <v>2</v>
      </c>
    </row>
    <row r="84" spans="1:27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54" t="s">
        <v>177</v>
      </c>
      <c r="M84" s="49">
        <v>5.64378E-22</v>
      </c>
      <c r="N84" s="49" t="s">
        <v>53</v>
      </c>
      <c r="O84" s="50"/>
      <c r="P84" s="41"/>
      <c r="Q84" s="70" t="s">
        <v>23</v>
      </c>
      <c r="R84" s="27"/>
      <c r="S84" s="27">
        <v>2.9401510344973165E-5</v>
      </c>
      <c r="T84" s="27">
        <v>3.2578569883300162E-5</v>
      </c>
      <c r="U84" s="69" t="s">
        <v>6</v>
      </c>
      <c r="W84" s="70" t="s">
        <v>23</v>
      </c>
      <c r="X84" s="6">
        <f t="shared" si="22"/>
        <v>0</v>
      </c>
      <c r="Y84" s="6">
        <f t="shared" si="23"/>
        <v>1.0976446780024328E-6</v>
      </c>
      <c r="Z84" s="6">
        <f t="shared" si="24"/>
        <v>1.2162536356044261E-6</v>
      </c>
      <c r="AA84" s="69" t="s">
        <v>2</v>
      </c>
    </row>
    <row r="85" spans="1:27" ht="15.75" thickBot="1" x14ac:dyDescent="0.3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54" t="s">
        <v>178</v>
      </c>
      <c r="M85" s="49">
        <v>3.5821200000000001E-31</v>
      </c>
      <c r="N85" s="49" t="s">
        <v>53</v>
      </c>
      <c r="O85" s="50"/>
      <c r="P85" s="41"/>
      <c r="Q85" s="74" t="s">
        <v>12</v>
      </c>
      <c r="R85" s="28"/>
      <c r="S85" s="28">
        <v>4.7972864050632009E-4</v>
      </c>
      <c r="T85" s="28">
        <v>5.3156701327174616E-4</v>
      </c>
      <c r="U85" s="75" t="s">
        <v>16</v>
      </c>
      <c r="W85" s="74" t="s">
        <v>12</v>
      </c>
      <c r="X85" s="9">
        <f t="shared" si="22"/>
        <v>0</v>
      </c>
      <c r="Y85" s="6">
        <f t="shared" si="23"/>
        <v>1.7909678209001719E-5</v>
      </c>
      <c r="Z85" s="6">
        <f t="shared" si="24"/>
        <v>1.9844956815939151E-5</v>
      </c>
      <c r="AA85" s="75" t="s">
        <v>208</v>
      </c>
    </row>
    <row r="86" spans="1:27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54" t="s">
        <v>125</v>
      </c>
      <c r="M86" s="49">
        <v>113.18840419999999</v>
      </c>
      <c r="N86" s="49" t="s">
        <v>53</v>
      </c>
      <c r="O86" s="50"/>
      <c r="P86" s="41"/>
    </row>
    <row r="87" spans="1:27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54" t="s">
        <v>126</v>
      </c>
      <c r="M87" s="49">
        <v>3.7446302444959998</v>
      </c>
      <c r="N87" s="49" t="s">
        <v>53</v>
      </c>
      <c r="O87" s="50"/>
      <c r="P87" s="41"/>
      <c r="Q87" s="41"/>
      <c r="W87" s="41"/>
    </row>
    <row r="88" spans="1:27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51"/>
      <c r="M88" s="49"/>
      <c r="N88" s="49"/>
      <c r="O88" s="50"/>
      <c r="P88" s="41"/>
      <c r="Q88" s="41"/>
      <c r="W88" s="41"/>
    </row>
    <row r="89" spans="1:27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8" t="s">
        <v>180</v>
      </c>
      <c r="M89" s="49"/>
      <c r="N89" s="49"/>
      <c r="O89" s="50"/>
      <c r="P89" s="41"/>
      <c r="Q89" s="41"/>
      <c r="W89" s="41"/>
    </row>
    <row r="90" spans="1:27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54" t="s">
        <v>35</v>
      </c>
      <c r="M90" s="49">
        <v>1.1E-20</v>
      </c>
      <c r="N90" s="49" t="s">
        <v>2</v>
      </c>
      <c r="O90" s="50"/>
      <c r="P90" s="41"/>
      <c r="Q90" s="41"/>
      <c r="W90" s="41"/>
    </row>
    <row r="91" spans="1:27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54" t="s">
        <v>33</v>
      </c>
      <c r="M91" s="49">
        <v>5.3000000000000001E-31</v>
      </c>
      <c r="N91" s="49" t="s">
        <v>2</v>
      </c>
      <c r="O91" s="50"/>
      <c r="P91" s="41"/>
      <c r="Q91" s="41"/>
      <c r="W91" s="41"/>
    </row>
    <row r="92" spans="1:27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54" t="s">
        <v>179</v>
      </c>
      <c r="M92" s="49">
        <v>2.5883309999999998E-22</v>
      </c>
      <c r="N92" s="49" t="s">
        <v>2</v>
      </c>
      <c r="O92" s="50"/>
      <c r="P92" s="41"/>
      <c r="Q92" s="41"/>
      <c r="W92" s="41"/>
    </row>
    <row r="93" spans="1:27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54" t="s">
        <v>169</v>
      </c>
      <c r="M93" s="49">
        <v>5.3359999999999999E-23</v>
      </c>
      <c r="N93" s="49" t="s">
        <v>2</v>
      </c>
      <c r="O93" s="50"/>
      <c r="P93" s="41"/>
      <c r="Q93" s="41"/>
      <c r="W93" s="41"/>
    </row>
    <row r="94" spans="1:27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54" t="s">
        <v>48</v>
      </c>
      <c r="M94" s="49">
        <v>7.6771100000000003E-18</v>
      </c>
      <c r="N94" s="49" t="s">
        <v>2</v>
      </c>
      <c r="O94" s="50"/>
      <c r="P94" s="41"/>
      <c r="Q94" s="41"/>
      <c r="W94" s="41"/>
    </row>
    <row r="95" spans="1:27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54" t="s">
        <v>117</v>
      </c>
      <c r="M95" s="49">
        <v>2.6505799999999999E-2</v>
      </c>
      <c r="N95" s="49" t="s">
        <v>2</v>
      </c>
      <c r="O95" s="50"/>
      <c r="P95" s="41"/>
      <c r="Q95" s="41"/>
      <c r="W95" s="41"/>
    </row>
    <row r="96" spans="1:27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54" t="s">
        <v>115</v>
      </c>
      <c r="M96" s="49">
        <v>7.2349999999999997E-21</v>
      </c>
      <c r="N96" s="49" t="s">
        <v>2</v>
      </c>
      <c r="O96" s="50"/>
      <c r="P96" s="41"/>
      <c r="Q96" s="41"/>
      <c r="W96" s="41"/>
    </row>
    <row r="97" spans="1:23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54" t="s">
        <v>114</v>
      </c>
      <c r="M97" s="49">
        <v>7.9870000000000003E-19</v>
      </c>
      <c r="N97" s="49" t="s">
        <v>2</v>
      </c>
      <c r="O97" s="50"/>
      <c r="P97" s="41"/>
      <c r="Q97" s="41"/>
      <c r="W97" s="41"/>
    </row>
    <row r="98" spans="1:23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54" t="s">
        <v>118</v>
      </c>
      <c r="M98" s="49">
        <v>1.66E-5</v>
      </c>
      <c r="N98" s="49" t="s">
        <v>2</v>
      </c>
      <c r="O98" s="50"/>
      <c r="P98" s="41"/>
      <c r="Q98" s="41"/>
      <c r="W98" s="41"/>
    </row>
    <row r="99" spans="1:23" ht="15.75" thickBot="1" x14ac:dyDescent="0.3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61" t="s">
        <v>116</v>
      </c>
      <c r="M99" s="57">
        <v>1.06303E-7</v>
      </c>
      <c r="N99" s="49" t="s">
        <v>2</v>
      </c>
      <c r="O99" s="58"/>
      <c r="P99" s="41"/>
      <c r="Q99" s="41"/>
      <c r="W99" s="41"/>
    </row>
    <row r="101" spans="1:23" x14ac:dyDescent="0.25">
      <c r="L101" s="55" t="s">
        <v>143</v>
      </c>
    </row>
    <row r="102" spans="1:23" x14ac:dyDescent="0.25">
      <c r="L102" s="55" t="s">
        <v>38</v>
      </c>
    </row>
    <row r="103" spans="1:23" x14ac:dyDescent="0.25">
      <c r="L103" s="55" t="s">
        <v>205</v>
      </c>
      <c r="M103" s="41">
        <f>C10</f>
        <v>26.786000000000001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status-quo</vt:lpstr>
      <vt:lpstr>CCPP</vt:lpstr>
      <vt:lpstr>MeOH_uNG</vt:lpstr>
      <vt:lpstr>Input vs. Output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2020-03-04T17:11:13Z</dcterms:modified>
</cp:coreProperties>
</file>