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9070" windowHeight="15870" activeTab="6"/>
  </bookViews>
  <sheets>
    <sheet name="FCI" sheetId="7" r:id="rId1"/>
    <sheet name="CEPCI" sheetId="6" r:id="rId2"/>
    <sheet name="Maintenance &amp; Operations cost" sheetId="5" r:id="rId3"/>
    <sheet name="COG utility" sheetId="1" r:id="rId4"/>
    <sheet name="BFG utility" sheetId="2" r:id="rId5"/>
    <sheet name="NG utility with WGS" sheetId="12" r:id="rId6"/>
    <sheet name="NG utility" sheetId="3" r:id="rId7"/>
    <sheet name="MeOH VS. Status quo and CCPP" sheetId="4" r:id="rId8"/>
    <sheet name="NPV_sensitivity" sheetId="14" r:id="rId9"/>
    <sheet name="Ssensitivity_result" sheetId="15" r:id="rId10"/>
    <sheet name="PriceMeOH" sheetId="19" r:id="rId11"/>
    <sheet name="PriceElec" sheetId="18" r:id="rId12"/>
    <sheet name="LocationHistory_NPV" sheetId="20" r:id="rId13"/>
    <sheet name="LocationHistory_CCA" sheetId="21" r:id="rId14"/>
    <sheet name="CashflowMeOH" sheetId="32" r:id="rId15"/>
    <sheet name="CashflowCCPP" sheetId="33" r:id="rId16"/>
    <sheet name="CashflowMeOHvsCCPP" sheetId="34" r:id="rId17"/>
    <sheet name="Utilitychosen" sheetId="39" r:id="rId18"/>
    <sheet name="CashflowCanada" sheetId="22" r:id="rId19"/>
    <sheet name="CashflowUSA" sheetId="38" r:id="rId20"/>
    <sheet name="CashflowFinland" sheetId="37" r:id="rId21"/>
    <sheet name="CashflowMexico" sheetId="35" r:id="rId22"/>
    <sheet name="CashflowChina" sheetId="36" r:id="rId23"/>
  </sheets>
  <definedNames>
    <definedName name="solver_adj" localSheetId="18" hidden="1">CashflowCanada!$C$7</definedName>
    <definedName name="solver_adj" localSheetId="15" hidden="1">CashflowCCPP!$G$7</definedName>
    <definedName name="solver_adj" localSheetId="22" hidden="1">CashflowChina!$C$7</definedName>
    <definedName name="solver_adj" localSheetId="20" hidden="1">CashflowFinland!$C$7</definedName>
    <definedName name="solver_adj" localSheetId="14" hidden="1">CashflowMeOH!$C$7</definedName>
    <definedName name="solver_adj" localSheetId="16" hidden="1">CashflowMeOHvsCCPP!$G$6</definedName>
    <definedName name="solver_adj" localSheetId="21" hidden="1">CashflowMexico!$C$7</definedName>
    <definedName name="solver_adj" localSheetId="19" hidden="1">CashflowUSA!$G$5</definedName>
    <definedName name="solver_adj" localSheetId="17" hidden="1">Utilitychosen!$C$7</definedName>
    <definedName name="solver_cvg" localSheetId="18" hidden="1">0.0001</definedName>
    <definedName name="solver_cvg" localSheetId="15" hidden="1">0.0001</definedName>
    <definedName name="solver_cvg" localSheetId="22" hidden="1">0.0001</definedName>
    <definedName name="solver_cvg" localSheetId="20" hidden="1">0.0001</definedName>
    <definedName name="solver_cvg" localSheetId="14" hidden="1">0.0001</definedName>
    <definedName name="solver_cvg" localSheetId="16" hidden="1">0.0001</definedName>
    <definedName name="solver_cvg" localSheetId="21" hidden="1">0.0001</definedName>
    <definedName name="solver_cvg" localSheetId="19" hidden="1">0.0001</definedName>
    <definedName name="solver_cvg" localSheetId="17" hidden="1">0.0001</definedName>
    <definedName name="solver_drv" localSheetId="18" hidden="1">1</definedName>
    <definedName name="solver_drv" localSheetId="15" hidden="1">1</definedName>
    <definedName name="solver_drv" localSheetId="22" hidden="1">1</definedName>
    <definedName name="solver_drv" localSheetId="20" hidden="1">1</definedName>
    <definedName name="solver_drv" localSheetId="14" hidden="1">1</definedName>
    <definedName name="solver_drv" localSheetId="16" hidden="1">1</definedName>
    <definedName name="solver_drv" localSheetId="21" hidden="1">1</definedName>
    <definedName name="solver_drv" localSheetId="19" hidden="1">1</definedName>
    <definedName name="solver_drv" localSheetId="17" hidden="1">1</definedName>
    <definedName name="solver_eng" localSheetId="18" hidden="1">1</definedName>
    <definedName name="solver_eng" localSheetId="15" hidden="1">1</definedName>
    <definedName name="solver_eng" localSheetId="22" hidden="1">1</definedName>
    <definedName name="solver_eng" localSheetId="20" hidden="1">1</definedName>
    <definedName name="solver_eng" localSheetId="14" hidden="1">1</definedName>
    <definedName name="solver_eng" localSheetId="16" hidden="1">1</definedName>
    <definedName name="solver_eng" localSheetId="21" hidden="1">1</definedName>
    <definedName name="solver_eng" localSheetId="19" hidden="1">1</definedName>
    <definedName name="solver_eng" localSheetId="17" hidden="1">1</definedName>
    <definedName name="solver_est" localSheetId="18" hidden="1">1</definedName>
    <definedName name="solver_est" localSheetId="15" hidden="1">1</definedName>
    <definedName name="solver_est" localSheetId="22" hidden="1">1</definedName>
    <definedName name="solver_est" localSheetId="20" hidden="1">1</definedName>
    <definedName name="solver_est" localSheetId="14" hidden="1">1</definedName>
    <definedName name="solver_est" localSheetId="16" hidden="1">1</definedName>
    <definedName name="solver_est" localSheetId="21" hidden="1">1</definedName>
    <definedName name="solver_est" localSheetId="19" hidden="1">1</definedName>
    <definedName name="solver_est" localSheetId="17" hidden="1">1</definedName>
    <definedName name="solver_itr" localSheetId="18" hidden="1">2147483647</definedName>
    <definedName name="solver_itr" localSheetId="15" hidden="1">2147483647</definedName>
    <definedName name="solver_itr" localSheetId="22" hidden="1">2147483647</definedName>
    <definedName name="solver_itr" localSheetId="20" hidden="1">2147483647</definedName>
    <definedName name="solver_itr" localSheetId="14" hidden="1">2147483647</definedName>
    <definedName name="solver_itr" localSheetId="16" hidden="1">2147483647</definedName>
    <definedName name="solver_itr" localSheetId="21" hidden="1">2147483647</definedName>
    <definedName name="solver_itr" localSheetId="19" hidden="1">2147483647</definedName>
    <definedName name="solver_itr" localSheetId="17" hidden="1">2147483647</definedName>
    <definedName name="solver_lhs1" localSheetId="18" hidden="1">CashflowCanada!$P$11</definedName>
    <definedName name="solver_lhs1" localSheetId="15" hidden="1">CashflowCCPP!$L$11</definedName>
    <definedName name="solver_lhs1" localSheetId="22" hidden="1">CashflowChina!$Q$11</definedName>
    <definedName name="solver_lhs1" localSheetId="20" hidden="1">CashflowFinland!$Q$11</definedName>
    <definedName name="solver_lhs1" localSheetId="14" hidden="1">CashflowMeOH!$P$11</definedName>
    <definedName name="solver_lhs1" localSheetId="16" hidden="1">CashflowMeOHvsCCPP!$R$12</definedName>
    <definedName name="solver_lhs1" localSheetId="21" hidden="1">CashflowMexico!$Q$11</definedName>
    <definedName name="solver_lhs1" localSheetId="19" hidden="1">CashflowUSA!$Q$11</definedName>
    <definedName name="solver_lhs1" localSheetId="17" hidden="1">Utilitychosen!$Q$11</definedName>
    <definedName name="solver_mip" localSheetId="18" hidden="1">2147483647</definedName>
    <definedName name="solver_mip" localSheetId="15" hidden="1">2147483647</definedName>
    <definedName name="solver_mip" localSheetId="22" hidden="1">2147483647</definedName>
    <definedName name="solver_mip" localSheetId="20" hidden="1">2147483647</definedName>
    <definedName name="solver_mip" localSheetId="14" hidden="1">2147483647</definedName>
    <definedName name="solver_mip" localSheetId="16" hidden="1">2147483647</definedName>
    <definedName name="solver_mip" localSheetId="21" hidden="1">2147483647</definedName>
    <definedName name="solver_mip" localSheetId="19" hidden="1">2147483647</definedName>
    <definedName name="solver_mip" localSheetId="17" hidden="1">2147483647</definedName>
    <definedName name="solver_mni" localSheetId="18" hidden="1">30</definedName>
    <definedName name="solver_mni" localSheetId="15" hidden="1">30</definedName>
    <definedName name="solver_mni" localSheetId="22" hidden="1">30</definedName>
    <definedName name="solver_mni" localSheetId="20" hidden="1">30</definedName>
    <definedName name="solver_mni" localSheetId="14" hidden="1">30</definedName>
    <definedName name="solver_mni" localSheetId="16" hidden="1">30</definedName>
    <definedName name="solver_mni" localSheetId="21" hidden="1">30</definedName>
    <definedName name="solver_mni" localSheetId="19" hidden="1">30</definedName>
    <definedName name="solver_mni" localSheetId="17" hidden="1">30</definedName>
    <definedName name="solver_mrt" localSheetId="18" hidden="1">0.075</definedName>
    <definedName name="solver_mrt" localSheetId="15" hidden="1">0.075</definedName>
    <definedName name="solver_mrt" localSheetId="22" hidden="1">0.075</definedName>
    <definedName name="solver_mrt" localSheetId="20" hidden="1">0.075</definedName>
    <definedName name="solver_mrt" localSheetId="14" hidden="1">0.075</definedName>
    <definedName name="solver_mrt" localSheetId="16" hidden="1">0.075</definedName>
    <definedName name="solver_mrt" localSheetId="21" hidden="1">0.075</definedName>
    <definedName name="solver_mrt" localSheetId="19" hidden="1">0.075</definedName>
    <definedName name="solver_mrt" localSheetId="17" hidden="1">0.075</definedName>
    <definedName name="solver_msl" localSheetId="18" hidden="1">2</definedName>
    <definedName name="solver_msl" localSheetId="15" hidden="1">2</definedName>
    <definedName name="solver_msl" localSheetId="22" hidden="1">2</definedName>
    <definedName name="solver_msl" localSheetId="20" hidden="1">2</definedName>
    <definedName name="solver_msl" localSheetId="14" hidden="1">2</definedName>
    <definedName name="solver_msl" localSheetId="16" hidden="1">2</definedName>
    <definedName name="solver_msl" localSheetId="21" hidden="1">2</definedName>
    <definedName name="solver_msl" localSheetId="19" hidden="1">2</definedName>
    <definedName name="solver_msl" localSheetId="17" hidden="1">2</definedName>
    <definedName name="solver_neg" localSheetId="18" hidden="1">1</definedName>
    <definedName name="solver_neg" localSheetId="15" hidden="1">2</definedName>
    <definedName name="solver_neg" localSheetId="22" hidden="1">1</definedName>
    <definedName name="solver_neg" localSheetId="20" hidden="1">1</definedName>
    <definedName name="solver_neg" localSheetId="14" hidden="1">1</definedName>
    <definedName name="solver_neg" localSheetId="16" hidden="1">1</definedName>
    <definedName name="solver_neg" localSheetId="21" hidden="1">1</definedName>
    <definedName name="solver_neg" localSheetId="19" hidden="1">1</definedName>
    <definedName name="solver_neg" localSheetId="17" hidden="1">1</definedName>
    <definedName name="solver_nod" localSheetId="18" hidden="1">2147483647</definedName>
    <definedName name="solver_nod" localSheetId="15" hidden="1">2147483647</definedName>
    <definedName name="solver_nod" localSheetId="22" hidden="1">2147483647</definedName>
    <definedName name="solver_nod" localSheetId="20" hidden="1">2147483647</definedName>
    <definedName name="solver_nod" localSheetId="14" hidden="1">2147483647</definedName>
    <definedName name="solver_nod" localSheetId="16" hidden="1">2147483647</definedName>
    <definedName name="solver_nod" localSheetId="21" hidden="1">2147483647</definedName>
    <definedName name="solver_nod" localSheetId="19" hidden="1">2147483647</definedName>
    <definedName name="solver_nod" localSheetId="17" hidden="1">2147483647</definedName>
    <definedName name="solver_num" localSheetId="18" hidden="1">0</definedName>
    <definedName name="solver_num" localSheetId="15" hidden="1">0</definedName>
    <definedName name="solver_num" localSheetId="22" hidden="1">0</definedName>
    <definedName name="solver_num" localSheetId="20" hidden="1">0</definedName>
    <definedName name="solver_num" localSheetId="14" hidden="1">0</definedName>
    <definedName name="solver_num" localSheetId="16" hidden="1">0</definedName>
    <definedName name="solver_num" localSheetId="21" hidden="1">0</definedName>
    <definedName name="solver_num" localSheetId="19" hidden="1">0</definedName>
    <definedName name="solver_num" localSheetId="17" hidden="1">0</definedName>
    <definedName name="solver_nwt" localSheetId="18" hidden="1">1</definedName>
    <definedName name="solver_nwt" localSheetId="15" hidden="1">1</definedName>
    <definedName name="solver_nwt" localSheetId="22" hidden="1">1</definedName>
    <definedName name="solver_nwt" localSheetId="20" hidden="1">1</definedName>
    <definedName name="solver_nwt" localSheetId="14" hidden="1">1</definedName>
    <definedName name="solver_nwt" localSheetId="16" hidden="1">1</definedName>
    <definedName name="solver_nwt" localSheetId="21" hidden="1">1</definedName>
    <definedName name="solver_nwt" localSheetId="19" hidden="1">1</definedName>
    <definedName name="solver_nwt" localSheetId="17" hidden="1">1</definedName>
    <definedName name="solver_opt" localSheetId="18" hidden="1">CashflowCanada!$P$11</definedName>
    <definedName name="solver_opt" localSheetId="15" hidden="1">CashflowCCPP!$AF$38</definedName>
    <definedName name="solver_opt" localSheetId="22" hidden="1">CashflowChina!$Q$11</definedName>
    <definedName name="solver_opt" localSheetId="20" hidden="1">CashflowFinland!$Q$11</definedName>
    <definedName name="solver_opt" localSheetId="14" hidden="1">CashflowMeOH!$P$11</definedName>
    <definedName name="solver_opt" localSheetId="16" hidden="1">CashflowMeOHvsCCPP!$P$45</definedName>
    <definedName name="solver_opt" localSheetId="21" hidden="1">CashflowMexico!$Q$11</definedName>
    <definedName name="solver_opt" localSheetId="19" hidden="1">CashflowUSA!$AF$37</definedName>
    <definedName name="solver_opt" localSheetId="17" hidden="1">Utilitychosen!$Q$11</definedName>
    <definedName name="solver_pre" localSheetId="18" hidden="1">0.000001</definedName>
    <definedName name="solver_pre" localSheetId="15" hidden="1">0.000001</definedName>
    <definedName name="solver_pre" localSheetId="22" hidden="1">0.000001</definedName>
    <definedName name="solver_pre" localSheetId="20" hidden="1">0.000001</definedName>
    <definedName name="solver_pre" localSheetId="14" hidden="1">0.000001</definedName>
    <definedName name="solver_pre" localSheetId="16" hidden="1">0.000001</definedName>
    <definedName name="solver_pre" localSheetId="21" hidden="1">0.000001</definedName>
    <definedName name="solver_pre" localSheetId="19" hidden="1">0.000001</definedName>
    <definedName name="solver_pre" localSheetId="17" hidden="1">0.000001</definedName>
    <definedName name="solver_rbv" localSheetId="18" hidden="1">1</definedName>
    <definedName name="solver_rbv" localSheetId="15" hidden="1">1</definedName>
    <definedName name="solver_rbv" localSheetId="22" hidden="1">1</definedName>
    <definedName name="solver_rbv" localSheetId="20" hidden="1">1</definedName>
    <definedName name="solver_rbv" localSheetId="14" hidden="1">1</definedName>
    <definedName name="solver_rbv" localSheetId="16" hidden="1">1</definedName>
    <definedName name="solver_rbv" localSheetId="21" hidden="1">1</definedName>
    <definedName name="solver_rbv" localSheetId="19" hidden="1">1</definedName>
    <definedName name="solver_rbv" localSheetId="17" hidden="1">1</definedName>
    <definedName name="solver_rel1" localSheetId="18" hidden="1">2</definedName>
    <definedName name="solver_rel1" localSheetId="15" hidden="1">2</definedName>
    <definedName name="solver_rel1" localSheetId="22" hidden="1">2</definedName>
    <definedName name="solver_rel1" localSheetId="20" hidden="1">2</definedName>
    <definedName name="solver_rel1" localSheetId="14" hidden="1">2</definedName>
    <definedName name="solver_rel1" localSheetId="16" hidden="1">2</definedName>
    <definedName name="solver_rel1" localSheetId="21" hidden="1">2</definedName>
    <definedName name="solver_rel1" localSheetId="19" hidden="1">2</definedName>
    <definedName name="solver_rel1" localSheetId="17" hidden="1">2</definedName>
    <definedName name="solver_rhs1" localSheetId="18" hidden="1">0</definedName>
    <definedName name="solver_rhs1" localSheetId="15" hidden="1">0</definedName>
    <definedName name="solver_rhs1" localSheetId="22" hidden="1">0</definedName>
    <definedName name="solver_rhs1" localSheetId="20" hidden="1">0</definedName>
    <definedName name="solver_rhs1" localSheetId="14" hidden="1">0</definedName>
    <definedName name="solver_rhs1" localSheetId="16" hidden="1">0</definedName>
    <definedName name="solver_rhs1" localSheetId="21" hidden="1">0</definedName>
    <definedName name="solver_rhs1" localSheetId="19" hidden="1">0</definedName>
    <definedName name="solver_rhs1" localSheetId="17" hidden="1">0</definedName>
    <definedName name="solver_rlx" localSheetId="18" hidden="1">2</definedName>
    <definedName name="solver_rlx" localSheetId="15" hidden="1">2</definedName>
    <definedName name="solver_rlx" localSheetId="22" hidden="1">2</definedName>
    <definedName name="solver_rlx" localSheetId="20" hidden="1">2</definedName>
    <definedName name="solver_rlx" localSheetId="14" hidden="1">2</definedName>
    <definedName name="solver_rlx" localSheetId="16" hidden="1">2</definedName>
    <definedName name="solver_rlx" localSheetId="21" hidden="1">2</definedName>
    <definedName name="solver_rlx" localSheetId="19" hidden="1">2</definedName>
    <definedName name="solver_rlx" localSheetId="17" hidden="1">2</definedName>
    <definedName name="solver_rsd" localSheetId="18" hidden="1">0</definedName>
    <definedName name="solver_rsd" localSheetId="15" hidden="1">0</definedName>
    <definedName name="solver_rsd" localSheetId="22" hidden="1">0</definedName>
    <definedName name="solver_rsd" localSheetId="20" hidden="1">0</definedName>
    <definedName name="solver_rsd" localSheetId="14" hidden="1">0</definedName>
    <definedName name="solver_rsd" localSheetId="16" hidden="1">0</definedName>
    <definedName name="solver_rsd" localSheetId="21" hidden="1">0</definedName>
    <definedName name="solver_rsd" localSheetId="19" hidden="1">0</definedName>
    <definedName name="solver_rsd" localSheetId="17" hidden="1">0</definedName>
    <definedName name="solver_scl" localSheetId="18" hidden="1">1</definedName>
    <definedName name="solver_scl" localSheetId="15" hidden="1">1</definedName>
    <definedName name="solver_scl" localSheetId="22" hidden="1">1</definedName>
    <definedName name="solver_scl" localSheetId="20" hidden="1">1</definedName>
    <definedName name="solver_scl" localSheetId="14" hidden="1">1</definedName>
    <definedName name="solver_scl" localSheetId="16" hidden="1">1</definedName>
    <definedName name="solver_scl" localSheetId="21" hidden="1">1</definedName>
    <definedName name="solver_scl" localSheetId="19" hidden="1">1</definedName>
    <definedName name="solver_scl" localSheetId="17" hidden="1">1</definedName>
    <definedName name="solver_sho" localSheetId="18" hidden="1">2</definedName>
    <definedName name="solver_sho" localSheetId="15" hidden="1">2</definedName>
    <definedName name="solver_sho" localSheetId="22" hidden="1">2</definedName>
    <definedName name="solver_sho" localSheetId="20" hidden="1">2</definedName>
    <definedName name="solver_sho" localSheetId="14" hidden="1">2</definedName>
    <definedName name="solver_sho" localSheetId="16" hidden="1">2</definedName>
    <definedName name="solver_sho" localSheetId="21" hidden="1">2</definedName>
    <definedName name="solver_sho" localSheetId="19" hidden="1">2</definedName>
    <definedName name="solver_sho" localSheetId="17" hidden="1">2</definedName>
    <definedName name="solver_ssz" localSheetId="18" hidden="1">100</definedName>
    <definedName name="solver_ssz" localSheetId="15" hidden="1">100</definedName>
    <definedName name="solver_ssz" localSheetId="22" hidden="1">100</definedName>
    <definedName name="solver_ssz" localSheetId="20" hidden="1">100</definedName>
    <definedName name="solver_ssz" localSheetId="14" hidden="1">100</definedName>
    <definedName name="solver_ssz" localSheetId="16" hidden="1">100</definedName>
    <definedName name="solver_ssz" localSheetId="21" hidden="1">100</definedName>
    <definedName name="solver_ssz" localSheetId="19" hidden="1">100</definedName>
    <definedName name="solver_ssz" localSheetId="17" hidden="1">100</definedName>
    <definedName name="solver_tim" localSheetId="18" hidden="1">2147483647</definedName>
    <definedName name="solver_tim" localSheetId="15" hidden="1">2147483647</definedName>
    <definedName name="solver_tim" localSheetId="22" hidden="1">2147483647</definedName>
    <definedName name="solver_tim" localSheetId="20" hidden="1">2147483647</definedName>
    <definedName name="solver_tim" localSheetId="14" hidden="1">2147483647</definedName>
    <definedName name="solver_tim" localSheetId="16" hidden="1">2147483647</definedName>
    <definedName name="solver_tim" localSheetId="21" hidden="1">2147483647</definedName>
    <definedName name="solver_tim" localSheetId="19" hidden="1">2147483647</definedName>
    <definedName name="solver_tim" localSheetId="17" hidden="1">2147483647</definedName>
    <definedName name="solver_tol" localSheetId="18" hidden="1">0.01</definedName>
    <definedName name="solver_tol" localSheetId="15" hidden="1">0.01</definedName>
    <definedName name="solver_tol" localSheetId="22" hidden="1">0.01</definedName>
    <definedName name="solver_tol" localSheetId="20" hidden="1">0.01</definedName>
    <definedName name="solver_tol" localSheetId="14" hidden="1">0.01</definedName>
    <definedName name="solver_tol" localSheetId="16" hidden="1">0.01</definedName>
    <definedName name="solver_tol" localSheetId="21" hidden="1">0.01</definedName>
    <definedName name="solver_tol" localSheetId="19" hidden="1">0.01</definedName>
    <definedName name="solver_tol" localSheetId="17" hidden="1">0.01</definedName>
    <definedName name="solver_typ" localSheetId="18" hidden="1">3</definedName>
    <definedName name="solver_typ" localSheetId="15" hidden="1">3</definedName>
    <definedName name="solver_typ" localSheetId="22" hidden="1">3</definedName>
    <definedName name="solver_typ" localSheetId="20" hidden="1">3</definedName>
    <definedName name="solver_typ" localSheetId="14" hidden="1">3</definedName>
    <definedName name="solver_typ" localSheetId="16" hidden="1">3</definedName>
    <definedName name="solver_typ" localSheetId="21" hidden="1">3</definedName>
    <definedName name="solver_typ" localSheetId="19" hidden="1">3</definedName>
    <definedName name="solver_typ" localSheetId="17" hidden="1">3</definedName>
    <definedName name="solver_val" localSheetId="18" hidden="1">0</definedName>
    <definedName name="solver_val" localSheetId="15" hidden="1">0</definedName>
    <definedName name="solver_val" localSheetId="22" hidden="1">0</definedName>
    <definedName name="solver_val" localSheetId="20" hidden="1">0</definedName>
    <definedName name="solver_val" localSheetId="14" hidden="1">0</definedName>
    <definedName name="solver_val" localSheetId="16" hidden="1">0</definedName>
    <definedName name="solver_val" localSheetId="21" hidden="1">0</definedName>
    <definedName name="solver_val" localSheetId="19" hidden="1">0</definedName>
    <definedName name="solver_val" localSheetId="17" hidden="1">0</definedName>
    <definedName name="solver_ver" localSheetId="18" hidden="1">3</definedName>
    <definedName name="solver_ver" localSheetId="15" hidden="1">3</definedName>
    <definedName name="solver_ver" localSheetId="22" hidden="1">3</definedName>
    <definedName name="solver_ver" localSheetId="20" hidden="1">3</definedName>
    <definedName name="solver_ver" localSheetId="14" hidden="1">3</definedName>
    <definedName name="solver_ver" localSheetId="16" hidden="1">3</definedName>
    <definedName name="solver_ver" localSheetId="21" hidden="1">3</definedName>
    <definedName name="solver_ver" localSheetId="19" hidden="1">3</definedName>
    <definedName name="solver_ver" localSheetId="17" hidden="1">3</definedName>
  </definedNames>
  <calcPr calcId="152511"/>
</workbook>
</file>

<file path=xl/calcChain.xml><?xml version="1.0" encoding="utf-8"?>
<calcChain xmlns="http://schemas.openxmlformats.org/spreadsheetml/2006/main">
  <c r="C19" i="3" l="1"/>
  <c r="C18" i="3"/>
  <c r="C16" i="3"/>
  <c r="C15" i="3"/>
  <c r="C14" i="3"/>
  <c r="C13" i="3"/>
  <c r="C11" i="3"/>
  <c r="C10" i="3"/>
  <c r="C9" i="3"/>
  <c r="C8" i="3"/>
  <c r="C7" i="3"/>
  <c r="C6" i="3"/>
  <c r="C5" i="3"/>
  <c r="C3" i="3"/>
  <c r="C2" i="12"/>
  <c r="C2" i="2"/>
  <c r="C2" i="1"/>
  <c r="C2" i="3" l="1"/>
  <c r="E17" i="22" l="1"/>
  <c r="C4" i="22"/>
  <c r="C9" i="39" l="1"/>
  <c r="E18" i="39" s="1"/>
  <c r="L17" i="39"/>
  <c r="K17" i="39"/>
  <c r="J17" i="39"/>
  <c r="I17" i="39"/>
  <c r="H17" i="39"/>
  <c r="G17" i="39"/>
  <c r="F17" i="39"/>
  <c r="E17" i="39"/>
  <c r="D17" i="39"/>
  <c r="C17" i="39"/>
  <c r="K9" i="39"/>
  <c r="J9" i="39"/>
  <c r="I9" i="39"/>
  <c r="C62" i="34"/>
  <c r="L17" i="38"/>
  <c r="K17" i="38"/>
  <c r="J17" i="38"/>
  <c r="I17" i="38"/>
  <c r="H17" i="38"/>
  <c r="G17" i="38"/>
  <c r="F17" i="38"/>
  <c r="E17" i="38"/>
  <c r="D17" i="38"/>
  <c r="C17" i="38"/>
  <c r="K9" i="38"/>
  <c r="J9" i="38"/>
  <c r="I9" i="38"/>
  <c r="C9" i="38"/>
  <c r="AB18" i="38" s="1"/>
  <c r="L17" i="37"/>
  <c r="K17" i="37"/>
  <c r="J17" i="37"/>
  <c r="I17" i="37"/>
  <c r="H17" i="37"/>
  <c r="G17" i="37"/>
  <c r="F17" i="37"/>
  <c r="E17" i="37"/>
  <c r="D17" i="37"/>
  <c r="C17" i="37"/>
  <c r="K9" i="37"/>
  <c r="J9" i="37"/>
  <c r="I9" i="37"/>
  <c r="C9" i="37"/>
  <c r="AC18" i="37" s="1"/>
  <c r="L17" i="36"/>
  <c r="K17" i="36"/>
  <c r="J17" i="36"/>
  <c r="I17" i="36"/>
  <c r="H17" i="36"/>
  <c r="G17" i="36"/>
  <c r="F17" i="36"/>
  <c r="E17" i="36"/>
  <c r="D17" i="36"/>
  <c r="C17" i="36"/>
  <c r="K9" i="36"/>
  <c r="J9" i="36"/>
  <c r="I9" i="36"/>
  <c r="C9" i="36"/>
  <c r="AB18" i="36" s="1"/>
  <c r="L17" i="35"/>
  <c r="K17" i="35"/>
  <c r="J17" i="35"/>
  <c r="I17" i="35"/>
  <c r="H17" i="35"/>
  <c r="G17" i="35"/>
  <c r="F17" i="35"/>
  <c r="E17" i="35"/>
  <c r="D17" i="35"/>
  <c r="C17" i="35"/>
  <c r="K9" i="35"/>
  <c r="J9" i="35"/>
  <c r="I9" i="35"/>
  <c r="C9" i="35"/>
  <c r="AB18" i="35" s="1"/>
  <c r="F18" i="36" l="1"/>
  <c r="AC18" i="36"/>
  <c r="M18" i="36"/>
  <c r="N18" i="36"/>
  <c r="U18" i="36"/>
  <c r="V18" i="36"/>
  <c r="AD18" i="36"/>
  <c r="E18" i="36"/>
  <c r="AC18" i="35"/>
  <c r="R18" i="35"/>
  <c r="C18" i="35"/>
  <c r="S18" i="35"/>
  <c r="E18" i="35"/>
  <c r="U18" i="35"/>
  <c r="H18" i="35"/>
  <c r="X18" i="35"/>
  <c r="AF18" i="35"/>
  <c r="J18" i="35"/>
  <c r="Z18" i="35"/>
  <c r="M18" i="35"/>
  <c r="P18" i="35"/>
  <c r="K18" i="35"/>
  <c r="AA18" i="35"/>
  <c r="G18" i="37"/>
  <c r="O18" i="37"/>
  <c r="U18" i="37"/>
  <c r="E18" i="37"/>
  <c r="W18" i="37"/>
  <c r="AE18" i="37"/>
  <c r="E18" i="38"/>
  <c r="M18" i="38"/>
  <c r="U18" i="38"/>
  <c r="AC18" i="38"/>
  <c r="M18" i="39"/>
  <c r="U18" i="39"/>
  <c r="V18" i="39"/>
  <c r="N18" i="39"/>
  <c r="AB18" i="39"/>
  <c r="AC18" i="39"/>
  <c r="AD18" i="39"/>
  <c r="F18" i="39"/>
  <c r="G18" i="39"/>
  <c r="O18" i="39"/>
  <c r="W18" i="39"/>
  <c r="AE18" i="39"/>
  <c r="H18" i="39"/>
  <c r="P18" i="39"/>
  <c r="X18" i="39"/>
  <c r="AF18" i="39"/>
  <c r="I18" i="39"/>
  <c r="Q18" i="39"/>
  <c r="Y18" i="39"/>
  <c r="J18" i="39"/>
  <c r="R18" i="39"/>
  <c r="Z18" i="39"/>
  <c r="C18" i="39"/>
  <c r="K18" i="39"/>
  <c r="S18" i="39"/>
  <c r="AA18" i="39"/>
  <c r="D18" i="39"/>
  <c r="L18" i="39"/>
  <c r="T18" i="39"/>
  <c r="F18" i="38"/>
  <c r="N18" i="38"/>
  <c r="V18" i="38"/>
  <c r="AD18" i="38"/>
  <c r="G18" i="38"/>
  <c r="O18" i="38"/>
  <c r="W18" i="38"/>
  <c r="AE18" i="38"/>
  <c r="H18" i="38"/>
  <c r="P18" i="38"/>
  <c r="X18" i="38"/>
  <c r="AF18" i="38"/>
  <c r="I18" i="38"/>
  <c r="Q18" i="38"/>
  <c r="Y18" i="38"/>
  <c r="J18" i="38"/>
  <c r="R18" i="38"/>
  <c r="Z18" i="38"/>
  <c r="C18" i="38"/>
  <c r="K18" i="38"/>
  <c r="S18" i="38"/>
  <c r="AA18" i="38"/>
  <c r="D18" i="38"/>
  <c r="L18" i="38"/>
  <c r="T18" i="38"/>
  <c r="AB18" i="37"/>
  <c r="T18" i="37"/>
  <c r="L18" i="37"/>
  <c r="D18" i="37"/>
  <c r="AA18" i="37"/>
  <c r="S18" i="37"/>
  <c r="K18" i="37"/>
  <c r="C18" i="37"/>
  <c r="Z18" i="37"/>
  <c r="R18" i="37"/>
  <c r="J18" i="37"/>
  <c r="Y18" i="37"/>
  <c r="Q18" i="37"/>
  <c r="I18" i="37"/>
  <c r="AF18" i="37"/>
  <c r="X18" i="37"/>
  <c r="P18" i="37"/>
  <c r="H18" i="37"/>
  <c r="AD18" i="37"/>
  <c r="V18" i="37"/>
  <c r="N18" i="37"/>
  <c r="F18" i="37"/>
  <c r="M18" i="37"/>
  <c r="G18" i="36"/>
  <c r="O18" i="36"/>
  <c r="W18" i="36"/>
  <c r="AE18" i="36"/>
  <c r="H18" i="36"/>
  <c r="P18" i="36"/>
  <c r="X18" i="36"/>
  <c r="AF18" i="36"/>
  <c r="I18" i="36"/>
  <c r="Q18" i="36"/>
  <c r="Y18" i="36"/>
  <c r="J18" i="36"/>
  <c r="R18" i="36"/>
  <c r="Z18" i="36"/>
  <c r="C18" i="36"/>
  <c r="K18" i="36"/>
  <c r="S18" i="36"/>
  <c r="AA18" i="36"/>
  <c r="D18" i="36"/>
  <c r="L18" i="36"/>
  <c r="T18" i="36"/>
  <c r="F18" i="35"/>
  <c r="N18" i="35"/>
  <c r="V18" i="35"/>
  <c r="AD18" i="35"/>
  <c r="G18" i="35"/>
  <c r="O18" i="35"/>
  <c r="W18" i="35"/>
  <c r="AE18" i="35"/>
  <c r="I18" i="35"/>
  <c r="Q18" i="35"/>
  <c r="Y18" i="35"/>
  <c r="D18" i="35"/>
  <c r="L18" i="35"/>
  <c r="T18" i="35"/>
  <c r="K9" i="22"/>
  <c r="J9" i="22"/>
  <c r="I9" i="22"/>
  <c r="K63" i="34"/>
  <c r="J63" i="34"/>
  <c r="I63" i="34"/>
  <c r="H63" i="34"/>
  <c r="K62" i="34"/>
  <c r="K56" i="34" s="1"/>
  <c r="J62" i="34"/>
  <c r="J56" i="34" s="1"/>
  <c r="I62" i="34"/>
  <c r="I56" i="34" s="1"/>
  <c r="H62" i="34"/>
  <c r="H56" i="34" s="1"/>
  <c r="K61" i="34"/>
  <c r="J61" i="34"/>
  <c r="I61" i="34"/>
  <c r="G63" i="34" l="1"/>
  <c r="C86" i="34" s="1"/>
  <c r="L86" i="34" s="1"/>
  <c r="G62" i="34"/>
  <c r="G56" i="34" s="1"/>
  <c r="J85" i="34" s="1"/>
  <c r="E70" i="34"/>
  <c r="F70" i="34"/>
  <c r="G70" i="34"/>
  <c r="H70" i="34"/>
  <c r="I70" i="34"/>
  <c r="J70" i="34"/>
  <c r="K70" i="34"/>
  <c r="L70" i="34"/>
  <c r="M70" i="34"/>
  <c r="N70" i="34"/>
  <c r="O70" i="34"/>
  <c r="P70" i="34"/>
  <c r="Q70" i="34"/>
  <c r="R70" i="34"/>
  <c r="S70" i="34"/>
  <c r="T70" i="34"/>
  <c r="U70" i="34"/>
  <c r="V70" i="34"/>
  <c r="W70" i="34"/>
  <c r="X70" i="34"/>
  <c r="Y70" i="34"/>
  <c r="Z70" i="34"/>
  <c r="AA70" i="34"/>
  <c r="AB70" i="34"/>
  <c r="AC70" i="34"/>
  <c r="AD70" i="34"/>
  <c r="AE70" i="34"/>
  <c r="AF70" i="34"/>
  <c r="D70" i="34"/>
  <c r="C70" i="34"/>
  <c r="J69" i="34"/>
  <c r="K69" i="34"/>
  <c r="L69" i="34"/>
  <c r="E69" i="34"/>
  <c r="F69" i="34"/>
  <c r="G69" i="34"/>
  <c r="H69" i="34"/>
  <c r="I69" i="34"/>
  <c r="D69" i="34"/>
  <c r="C69" i="34"/>
  <c r="C53" i="34"/>
  <c r="E55" i="34" s="1"/>
  <c r="C74" i="34" s="1"/>
  <c r="D71" i="34"/>
  <c r="K10" i="34"/>
  <c r="J10" i="34"/>
  <c r="I10" i="34"/>
  <c r="L18" i="34"/>
  <c r="K18" i="34"/>
  <c r="J18" i="34"/>
  <c r="I18" i="34"/>
  <c r="H18" i="34"/>
  <c r="G18" i="34"/>
  <c r="F18" i="34"/>
  <c r="E18" i="34"/>
  <c r="D18" i="34"/>
  <c r="C18" i="34"/>
  <c r="C10" i="34"/>
  <c r="AB19" i="34" s="1"/>
  <c r="K11" i="33"/>
  <c r="J11" i="33"/>
  <c r="I11" i="33"/>
  <c r="H11" i="33"/>
  <c r="G11" i="33"/>
  <c r="C34" i="33" s="1"/>
  <c r="K10" i="33"/>
  <c r="K4" i="33" s="1"/>
  <c r="J10" i="33"/>
  <c r="J4" i="33" s="1"/>
  <c r="I10" i="33"/>
  <c r="I4" i="33" s="1"/>
  <c r="H10" i="33"/>
  <c r="H4" i="33" s="1"/>
  <c r="G10" i="33"/>
  <c r="G4" i="33" s="1"/>
  <c r="Z33" i="33" s="1"/>
  <c r="C10" i="33"/>
  <c r="K9" i="33"/>
  <c r="J9" i="33"/>
  <c r="I9" i="33"/>
  <c r="C1" i="33"/>
  <c r="E4" i="33" s="1"/>
  <c r="AD18" i="33"/>
  <c r="AC18" i="33"/>
  <c r="V18" i="33"/>
  <c r="U18" i="33"/>
  <c r="N18" i="33"/>
  <c r="M18" i="33"/>
  <c r="F18" i="33"/>
  <c r="E18" i="33"/>
  <c r="L17" i="33"/>
  <c r="K17" i="33"/>
  <c r="J17" i="33"/>
  <c r="I17" i="33"/>
  <c r="H17" i="33"/>
  <c r="G17" i="33"/>
  <c r="F17" i="33"/>
  <c r="E17" i="33"/>
  <c r="D17" i="33"/>
  <c r="C17" i="33"/>
  <c r="AB18" i="33"/>
  <c r="L17" i="32"/>
  <c r="K17" i="32"/>
  <c r="J17" i="32"/>
  <c r="I17" i="32"/>
  <c r="H17" i="32"/>
  <c r="G17" i="32"/>
  <c r="F17" i="32"/>
  <c r="E17" i="32"/>
  <c r="D17" i="32"/>
  <c r="C17" i="32"/>
  <c r="C9" i="32"/>
  <c r="AB18" i="32" s="1"/>
  <c r="T71" i="34" l="1"/>
  <c r="T72" i="34" s="1"/>
  <c r="N71" i="34"/>
  <c r="N72" i="34" s="1"/>
  <c r="AE86" i="34"/>
  <c r="AC86" i="34"/>
  <c r="W86" i="34"/>
  <c r="E56" i="34"/>
  <c r="AB71" i="34"/>
  <c r="AB72" i="34" s="1"/>
  <c r="U86" i="34"/>
  <c r="V71" i="34"/>
  <c r="V72" i="34" s="1"/>
  <c r="D72" i="34"/>
  <c r="L71" i="34"/>
  <c r="L72" i="34" s="1"/>
  <c r="O86" i="34"/>
  <c r="E19" i="34"/>
  <c r="F71" i="34"/>
  <c r="F72" i="34" s="1"/>
  <c r="M86" i="34"/>
  <c r="G86" i="34"/>
  <c r="AD71" i="34"/>
  <c r="AD76" i="34" s="1"/>
  <c r="AD81" i="34" s="1"/>
  <c r="D86" i="34"/>
  <c r="C75" i="34"/>
  <c r="D74" i="34" s="1"/>
  <c r="U18" i="32"/>
  <c r="AC18" i="32"/>
  <c r="C54" i="34"/>
  <c r="C60" i="34" s="1"/>
  <c r="Z71" i="34"/>
  <c r="Z76" i="34" s="1"/>
  <c r="Z79" i="34" s="1"/>
  <c r="R71" i="34"/>
  <c r="R76" i="34" s="1"/>
  <c r="J71" i="34"/>
  <c r="J72" i="34" s="1"/>
  <c r="AA86" i="34"/>
  <c r="S86" i="34"/>
  <c r="K86" i="34"/>
  <c r="D85" i="34"/>
  <c r="Y85" i="34"/>
  <c r="Q85" i="34"/>
  <c r="I85" i="34"/>
  <c r="AE18" i="32"/>
  <c r="Y71" i="34"/>
  <c r="Y76" i="34" s="1"/>
  <c r="Y81" i="34" s="1"/>
  <c r="Q71" i="34"/>
  <c r="Q76" i="34" s="1"/>
  <c r="Q81" i="34" s="1"/>
  <c r="I71" i="34"/>
  <c r="I72" i="34" s="1"/>
  <c r="Z86" i="34"/>
  <c r="R86" i="34"/>
  <c r="J86" i="34"/>
  <c r="AF85" i="34"/>
  <c r="X85" i="34"/>
  <c r="P85" i="34"/>
  <c r="H85" i="34"/>
  <c r="E71" i="34"/>
  <c r="E72" i="34" s="1"/>
  <c r="E18" i="32"/>
  <c r="AF71" i="34"/>
  <c r="AF72" i="34" s="1"/>
  <c r="X71" i="34"/>
  <c r="X76" i="34" s="1"/>
  <c r="X83" i="34" s="1"/>
  <c r="P71" i="34"/>
  <c r="P72" i="34" s="1"/>
  <c r="H71" i="34"/>
  <c r="H72" i="34" s="1"/>
  <c r="Y86" i="34"/>
  <c r="Q86" i="34"/>
  <c r="I86" i="34"/>
  <c r="AE85" i="34"/>
  <c r="W85" i="34"/>
  <c r="O85" i="34"/>
  <c r="G85" i="34"/>
  <c r="G18" i="32"/>
  <c r="AE71" i="34"/>
  <c r="AE72" i="34" s="1"/>
  <c r="W71" i="34"/>
  <c r="W72" i="34" s="1"/>
  <c r="O71" i="34"/>
  <c r="O72" i="34" s="1"/>
  <c r="G71" i="34"/>
  <c r="G72" i="34" s="1"/>
  <c r="AF86" i="34"/>
  <c r="X86" i="34"/>
  <c r="P86" i="34"/>
  <c r="H86" i="34"/>
  <c r="AD85" i="34"/>
  <c r="V85" i="34"/>
  <c r="N85" i="34"/>
  <c r="F85" i="34"/>
  <c r="AC85" i="34"/>
  <c r="U85" i="34"/>
  <c r="M85" i="34"/>
  <c r="M18" i="32"/>
  <c r="O18" i="32"/>
  <c r="AC71" i="34"/>
  <c r="AC76" i="34" s="1"/>
  <c r="U71" i="34"/>
  <c r="U76" i="34" s="1"/>
  <c r="M71" i="34"/>
  <c r="M76" i="34" s="1"/>
  <c r="C71" i="34"/>
  <c r="C72" i="34" s="1"/>
  <c r="AD86" i="34"/>
  <c r="V86" i="34"/>
  <c r="N86" i="34"/>
  <c r="F86" i="34"/>
  <c r="AB85" i="34"/>
  <c r="T85" i="34"/>
  <c r="L85" i="34"/>
  <c r="E86" i="34"/>
  <c r="AA85" i="34"/>
  <c r="S85" i="34"/>
  <c r="K85" i="34"/>
  <c r="E85" i="34"/>
  <c r="W18" i="32"/>
  <c r="AA71" i="34"/>
  <c r="AA72" i="34" s="1"/>
  <c r="S71" i="34"/>
  <c r="S72" i="34" s="1"/>
  <c r="K71" i="34"/>
  <c r="K72" i="34" s="1"/>
  <c r="AB86" i="34"/>
  <c r="T86" i="34"/>
  <c r="C85" i="34"/>
  <c r="Z85" i="34"/>
  <c r="R85" i="34"/>
  <c r="C2" i="33"/>
  <c r="C8" i="33" s="1"/>
  <c r="E3" i="33"/>
  <c r="N2" i="33" s="1"/>
  <c r="O2" i="33" s="1"/>
  <c r="P2" i="33" s="1"/>
  <c r="N3" i="33" s="1"/>
  <c r="F34" i="33"/>
  <c r="N34" i="33"/>
  <c r="V34" i="33"/>
  <c r="AD34" i="33"/>
  <c r="G34" i="33"/>
  <c r="O34" i="33"/>
  <c r="W34" i="33"/>
  <c r="AE34" i="33"/>
  <c r="H34" i="33"/>
  <c r="P34" i="33"/>
  <c r="X34" i="33"/>
  <c r="AF34" i="33"/>
  <c r="I34" i="33"/>
  <c r="Q34" i="33"/>
  <c r="Y34" i="33"/>
  <c r="D34" i="33"/>
  <c r="J34" i="33"/>
  <c r="R34" i="33"/>
  <c r="Z34" i="33"/>
  <c r="K34" i="33"/>
  <c r="S34" i="33"/>
  <c r="AA34" i="33"/>
  <c r="L34" i="33"/>
  <c r="T34" i="33"/>
  <c r="AB34" i="33"/>
  <c r="E34" i="33"/>
  <c r="M34" i="33"/>
  <c r="U34" i="33"/>
  <c r="AC34" i="33"/>
  <c r="N54" i="34"/>
  <c r="M19" i="34"/>
  <c r="U19" i="34"/>
  <c r="AC19" i="34"/>
  <c r="F19" i="34"/>
  <c r="N19" i="34"/>
  <c r="V19" i="34"/>
  <c r="AD19" i="34"/>
  <c r="G19" i="34"/>
  <c r="O19" i="34"/>
  <c r="W19" i="34"/>
  <c r="AE19" i="34"/>
  <c r="H19" i="34"/>
  <c r="P19" i="34"/>
  <c r="X19" i="34"/>
  <c r="AF19" i="34"/>
  <c r="I19" i="34"/>
  <c r="Q19" i="34"/>
  <c r="Y19" i="34"/>
  <c r="J19" i="34"/>
  <c r="R19" i="34"/>
  <c r="Z19" i="34"/>
  <c r="C19" i="34"/>
  <c r="K19" i="34"/>
  <c r="S19" i="34"/>
  <c r="AA19" i="34"/>
  <c r="D19" i="34"/>
  <c r="L19" i="34"/>
  <c r="T19" i="34"/>
  <c r="R33" i="33"/>
  <c r="AF33" i="33"/>
  <c r="X33" i="33"/>
  <c r="P33" i="33"/>
  <c r="H33" i="33"/>
  <c r="AE33" i="33"/>
  <c r="W33" i="33"/>
  <c r="O33" i="33"/>
  <c r="G33" i="33"/>
  <c r="AD33" i="33"/>
  <c r="V33" i="33"/>
  <c r="N33" i="33"/>
  <c r="F33" i="33"/>
  <c r="AC33" i="33"/>
  <c r="U33" i="33"/>
  <c r="M33" i="33"/>
  <c r="E33" i="33"/>
  <c r="AB33" i="33"/>
  <c r="T33" i="33"/>
  <c r="L33" i="33"/>
  <c r="D33" i="33"/>
  <c r="AA33" i="33"/>
  <c r="S33" i="33"/>
  <c r="K33" i="33"/>
  <c r="C33" i="33"/>
  <c r="I33" i="33"/>
  <c r="J33" i="33"/>
  <c r="Q33" i="33"/>
  <c r="Y33" i="33"/>
  <c r="G18" i="33"/>
  <c r="O18" i="33"/>
  <c r="W18" i="33"/>
  <c r="AE18" i="33"/>
  <c r="H18" i="33"/>
  <c r="P18" i="33"/>
  <c r="X18" i="33"/>
  <c r="AF18" i="33"/>
  <c r="I18" i="33"/>
  <c r="Q18" i="33"/>
  <c r="Y18" i="33"/>
  <c r="J18" i="33"/>
  <c r="R18" i="33"/>
  <c r="Z18" i="33"/>
  <c r="C18" i="33"/>
  <c r="K18" i="33"/>
  <c r="S18" i="33"/>
  <c r="AA18" i="33"/>
  <c r="D18" i="33"/>
  <c r="L18" i="33"/>
  <c r="T18" i="33"/>
  <c r="F18" i="32"/>
  <c r="N18" i="32"/>
  <c r="V18" i="32"/>
  <c r="AD18" i="32"/>
  <c r="H18" i="32"/>
  <c r="P18" i="32"/>
  <c r="X18" i="32"/>
  <c r="AF18" i="32"/>
  <c r="I18" i="32"/>
  <c r="Q18" i="32"/>
  <c r="Y18" i="32"/>
  <c r="J18" i="32"/>
  <c r="R18" i="32"/>
  <c r="Z18" i="32"/>
  <c r="C18" i="32"/>
  <c r="K18" i="32"/>
  <c r="S18" i="32"/>
  <c r="AA18" i="32"/>
  <c r="D18" i="32"/>
  <c r="L18" i="32"/>
  <c r="T18" i="32"/>
  <c r="N76" i="34" l="1"/>
  <c r="N81" i="34" s="1"/>
  <c r="T76" i="34"/>
  <c r="T81" i="34" s="1"/>
  <c r="U72" i="34"/>
  <c r="AA76" i="34"/>
  <c r="AA81" i="34" s="1"/>
  <c r="O76" i="34"/>
  <c r="O79" i="34" s="1"/>
  <c r="V76" i="34"/>
  <c r="V81" i="34" s="1"/>
  <c r="Q72" i="34"/>
  <c r="AE76" i="34"/>
  <c r="AE81" i="34" s="1"/>
  <c r="AF76" i="34"/>
  <c r="AF83" i="34" s="1"/>
  <c r="AF84" i="34" s="1"/>
  <c r="AF91" i="34" s="1"/>
  <c r="AF92" i="34" s="1"/>
  <c r="AF93" i="34" s="1"/>
  <c r="Z83" i="34"/>
  <c r="W76" i="34"/>
  <c r="W81" i="34" s="1"/>
  <c r="X81" i="34"/>
  <c r="AB76" i="34"/>
  <c r="AB81" i="34" s="1"/>
  <c r="AC72" i="34"/>
  <c r="P76" i="34"/>
  <c r="P83" i="34" s="1"/>
  <c r="P84" i="34" s="1"/>
  <c r="R72" i="34"/>
  <c r="AD72" i="34"/>
  <c r="S76" i="34"/>
  <c r="S83" i="34" s="1"/>
  <c r="S84" i="34" s="1"/>
  <c r="C22" i="33"/>
  <c r="C23" i="33" s="1"/>
  <c r="D22" i="33" s="1"/>
  <c r="Z72" i="34"/>
  <c r="X79" i="34"/>
  <c r="M72" i="34"/>
  <c r="Z81" i="34"/>
  <c r="X72" i="34"/>
  <c r="X84" i="34" s="1"/>
  <c r="X87" i="34" s="1"/>
  <c r="X88" i="34" s="1"/>
  <c r="X89" i="34" s="1"/>
  <c r="R83" i="34"/>
  <c r="R79" i="34"/>
  <c r="R81" i="34"/>
  <c r="D75" i="34"/>
  <c r="E74" i="34" s="1"/>
  <c r="O54" i="34"/>
  <c r="P54" i="34" s="1"/>
  <c r="N55" i="34" s="1"/>
  <c r="Y72" i="34"/>
  <c r="C73" i="34"/>
  <c r="C76" i="34" s="1"/>
  <c r="D73" i="34"/>
  <c r="E73" i="34"/>
  <c r="F73" i="34"/>
  <c r="G73" i="34"/>
  <c r="H73" i="34"/>
  <c r="I73" i="34"/>
  <c r="AD79" i="34"/>
  <c r="AD83" i="34"/>
  <c r="Y79" i="34"/>
  <c r="Y83" i="34"/>
  <c r="Q79" i="34"/>
  <c r="Q83" i="34"/>
  <c r="M81" i="34"/>
  <c r="M83" i="34"/>
  <c r="M79" i="34"/>
  <c r="AC81" i="34"/>
  <c r="AC79" i="34"/>
  <c r="AC83" i="34"/>
  <c r="U81" i="34"/>
  <c r="U79" i="34"/>
  <c r="U83" i="34"/>
  <c r="O3" i="33"/>
  <c r="P3" i="33" s="1"/>
  <c r="N4" i="33" s="1"/>
  <c r="AD19" i="33"/>
  <c r="V19" i="33"/>
  <c r="N19" i="33"/>
  <c r="F19" i="33"/>
  <c r="AC19" i="33"/>
  <c r="U19" i="33"/>
  <c r="M19" i="33"/>
  <c r="E19" i="33"/>
  <c r="AB19" i="33"/>
  <c r="T19" i="33"/>
  <c r="T20" i="33" s="1"/>
  <c r="L19" i="33"/>
  <c r="L20" i="33" s="1"/>
  <c r="D19" i="33"/>
  <c r="D20" i="33" s="1"/>
  <c r="AA19" i="33"/>
  <c r="AA24" i="33" s="1"/>
  <c r="S19" i="33"/>
  <c r="S24" i="33" s="1"/>
  <c r="K19" i="33"/>
  <c r="K20" i="33" s="1"/>
  <c r="C19" i="33"/>
  <c r="Z19" i="33"/>
  <c r="Z24" i="33" s="1"/>
  <c r="R19" i="33"/>
  <c r="R20" i="33" s="1"/>
  <c r="J19" i="33"/>
  <c r="Y19" i="33"/>
  <c r="Y24" i="33" s="1"/>
  <c r="Q19" i="33"/>
  <c r="Q24" i="33" s="1"/>
  <c r="I19" i="33"/>
  <c r="I20" i="33" s="1"/>
  <c r="G19" i="33"/>
  <c r="G20" i="33" s="1"/>
  <c r="AF19" i="33"/>
  <c r="AF24" i="33" s="1"/>
  <c r="AE19" i="33"/>
  <c r="AE24" i="33" s="1"/>
  <c r="X19" i="33"/>
  <c r="X24" i="33" s="1"/>
  <c r="W19" i="33"/>
  <c r="W20" i="33" s="1"/>
  <c r="H19" i="33"/>
  <c r="H20" i="33" s="1"/>
  <c r="P19" i="33"/>
  <c r="P24" i="33" s="1"/>
  <c r="O19" i="33"/>
  <c r="O20" i="33" s="1"/>
  <c r="I21" i="33"/>
  <c r="H21" i="33"/>
  <c r="G21" i="33"/>
  <c r="F21" i="33"/>
  <c r="E21" i="33"/>
  <c r="C21" i="33"/>
  <c r="D21" i="33"/>
  <c r="U6" i="18"/>
  <c r="U12" i="18"/>
  <c r="U10" i="18"/>
  <c r="AA79" i="34" l="1"/>
  <c r="N79" i="34"/>
  <c r="O81" i="34"/>
  <c r="N83" i="34"/>
  <c r="N84" i="34" s="1"/>
  <c r="N91" i="34" s="1"/>
  <c r="N92" i="34" s="1"/>
  <c r="N93" i="34" s="1"/>
  <c r="AA83" i="34"/>
  <c r="AA84" i="34" s="1"/>
  <c r="AA91" i="34" s="1"/>
  <c r="AA92" i="34" s="1"/>
  <c r="AA93" i="34" s="1"/>
  <c r="O83" i="34"/>
  <c r="O84" i="34" s="1"/>
  <c r="O91" i="34" s="1"/>
  <c r="O92" i="34" s="1"/>
  <c r="O93" i="34" s="1"/>
  <c r="AE79" i="34"/>
  <c r="Q84" i="34"/>
  <c r="Q87" i="34" s="1"/>
  <c r="Q88" i="34" s="1"/>
  <c r="Q89" i="34" s="1"/>
  <c r="T79" i="34"/>
  <c r="T83" i="34"/>
  <c r="T84" i="34" s="1"/>
  <c r="T91" i="34" s="1"/>
  <c r="T92" i="34" s="1"/>
  <c r="T93" i="34" s="1"/>
  <c r="U84" i="34"/>
  <c r="U87" i="34" s="1"/>
  <c r="U88" i="34" s="1"/>
  <c r="U89" i="34" s="1"/>
  <c r="AF79" i="34"/>
  <c r="V83" i="34"/>
  <c r="V84" i="34" s="1"/>
  <c r="V91" i="34" s="1"/>
  <c r="V92" i="34" s="1"/>
  <c r="V93" i="34" s="1"/>
  <c r="AF81" i="34"/>
  <c r="V79" i="34"/>
  <c r="AE83" i="34"/>
  <c r="AE84" i="34" s="1"/>
  <c r="AE87" i="34" s="1"/>
  <c r="AE88" i="34" s="1"/>
  <c r="AE89" i="34" s="1"/>
  <c r="S81" i="34"/>
  <c r="W79" i="34"/>
  <c r="AD84" i="34"/>
  <c r="AD87" i="34" s="1"/>
  <c r="AD88" i="34" s="1"/>
  <c r="AD89" i="34" s="1"/>
  <c r="W83" i="34"/>
  <c r="W84" i="34" s="1"/>
  <c r="W87" i="34" s="1"/>
  <c r="W88" i="34" s="1"/>
  <c r="W89" i="34" s="1"/>
  <c r="S79" i="34"/>
  <c r="AB79" i="34"/>
  <c r="AB83" i="34"/>
  <c r="AB84" i="34" s="1"/>
  <c r="AB91" i="34" s="1"/>
  <c r="AB92" i="34" s="1"/>
  <c r="AB93" i="34" s="1"/>
  <c r="Z84" i="34"/>
  <c r="Z87" i="34" s="1"/>
  <c r="Z88" i="34" s="1"/>
  <c r="Z89" i="34" s="1"/>
  <c r="AC84" i="34"/>
  <c r="AC91" i="34" s="1"/>
  <c r="AC92" i="34" s="1"/>
  <c r="AC93" i="34" s="1"/>
  <c r="R84" i="34"/>
  <c r="R91" i="34" s="1"/>
  <c r="R92" i="34" s="1"/>
  <c r="R93" i="34" s="1"/>
  <c r="M84" i="34"/>
  <c r="M87" i="34" s="1"/>
  <c r="M88" i="34" s="1"/>
  <c r="M89" i="34" s="1"/>
  <c r="AF87" i="34"/>
  <c r="AF88" i="34" s="1"/>
  <c r="AF89" i="34" s="1"/>
  <c r="P91" i="34"/>
  <c r="P92" i="34" s="1"/>
  <c r="P93" i="34" s="1"/>
  <c r="P87" i="34"/>
  <c r="P88" i="34" s="1"/>
  <c r="P89" i="34" s="1"/>
  <c r="P81" i="34"/>
  <c r="P79" i="34"/>
  <c r="D76" i="34"/>
  <c r="O55" i="34"/>
  <c r="P55" i="34" s="1"/>
  <c r="N56" i="34" s="1"/>
  <c r="Y84" i="34"/>
  <c r="Y91" i="34" s="1"/>
  <c r="Y92" i="34" s="1"/>
  <c r="Y93" i="34" s="1"/>
  <c r="AE20" i="33"/>
  <c r="Z20" i="33"/>
  <c r="X20" i="33"/>
  <c r="C24" i="33"/>
  <c r="C27" i="33" s="1"/>
  <c r="C28" i="33" s="1"/>
  <c r="X91" i="34"/>
  <c r="X92" i="34" s="1"/>
  <c r="X93" i="34" s="1"/>
  <c r="S91" i="34"/>
  <c r="S92" i="34" s="1"/>
  <c r="S93" i="34" s="1"/>
  <c r="S87" i="34"/>
  <c r="S88" i="34" s="1"/>
  <c r="S89" i="34" s="1"/>
  <c r="C81" i="34"/>
  <c r="C79" i="34"/>
  <c r="C80" i="34" s="1"/>
  <c r="C83" i="34"/>
  <c r="C84" i="34" s="1"/>
  <c r="O4" i="33"/>
  <c r="P4" i="33" s="1"/>
  <c r="N5" i="33" s="1"/>
  <c r="T24" i="33"/>
  <c r="T27" i="33" s="1"/>
  <c r="P20" i="33"/>
  <c r="AA20" i="33"/>
  <c r="C20" i="33"/>
  <c r="O24" i="33"/>
  <c r="O27" i="33" s="1"/>
  <c r="Q20" i="33"/>
  <c r="S20" i="33"/>
  <c r="AF27" i="33"/>
  <c r="Y27" i="33"/>
  <c r="X27" i="33"/>
  <c r="D23" i="33"/>
  <c r="E22" i="33" s="1"/>
  <c r="V24" i="33"/>
  <c r="V20" i="33"/>
  <c r="W24" i="33"/>
  <c r="AE27" i="33"/>
  <c r="S27" i="33"/>
  <c r="P27" i="33"/>
  <c r="AB20" i="33"/>
  <c r="AB24" i="33"/>
  <c r="AD24" i="33"/>
  <c r="AD20" i="33"/>
  <c r="Y20" i="33"/>
  <c r="M24" i="33"/>
  <c r="M20" i="33"/>
  <c r="AF20" i="33"/>
  <c r="F20" i="33"/>
  <c r="N24" i="33"/>
  <c r="N20" i="33"/>
  <c r="J20" i="33"/>
  <c r="R24" i="33"/>
  <c r="U24" i="33"/>
  <c r="U20" i="33"/>
  <c r="Z27" i="33"/>
  <c r="E20" i="33"/>
  <c r="Q27" i="33"/>
  <c r="AA27" i="33"/>
  <c r="AC24" i="33"/>
  <c r="AC20" i="33"/>
  <c r="N87" i="34" l="1"/>
  <c r="N88" i="34" s="1"/>
  <c r="N89" i="34" s="1"/>
  <c r="O87" i="34"/>
  <c r="O88" i="34" s="1"/>
  <c r="O89" i="34" s="1"/>
  <c r="AA87" i="34"/>
  <c r="AA88" i="34" s="1"/>
  <c r="AA89" i="34" s="1"/>
  <c r="Q91" i="34"/>
  <c r="Q92" i="34" s="1"/>
  <c r="Q93" i="34" s="1"/>
  <c r="T87" i="34"/>
  <c r="T88" i="34" s="1"/>
  <c r="T89" i="34" s="1"/>
  <c r="U91" i="34"/>
  <c r="U92" i="34" s="1"/>
  <c r="U93" i="34" s="1"/>
  <c r="V87" i="34"/>
  <c r="V88" i="34" s="1"/>
  <c r="V89" i="34" s="1"/>
  <c r="AE91" i="34"/>
  <c r="AE92" i="34" s="1"/>
  <c r="AE93" i="34" s="1"/>
  <c r="W91" i="34"/>
  <c r="W92" i="34" s="1"/>
  <c r="W93" i="34" s="1"/>
  <c r="M91" i="34"/>
  <c r="M92" i="34" s="1"/>
  <c r="M93" i="34" s="1"/>
  <c r="Z91" i="34"/>
  <c r="Z92" i="34" s="1"/>
  <c r="Z93" i="34" s="1"/>
  <c r="AD91" i="34"/>
  <c r="AD92" i="34" s="1"/>
  <c r="AD93" i="34" s="1"/>
  <c r="AB87" i="34"/>
  <c r="AB88" i="34" s="1"/>
  <c r="AB89" i="34" s="1"/>
  <c r="R87" i="34"/>
  <c r="R88" i="34" s="1"/>
  <c r="R89" i="34" s="1"/>
  <c r="AC87" i="34"/>
  <c r="AC88" i="34" s="1"/>
  <c r="AC89" i="34" s="1"/>
  <c r="Y87" i="34"/>
  <c r="Y88" i="34" s="1"/>
  <c r="Y89" i="34" s="1"/>
  <c r="C29" i="33"/>
  <c r="C30" i="33" s="1"/>
  <c r="D26" i="33" s="1"/>
  <c r="C31" i="33"/>
  <c r="C32" i="33" s="1"/>
  <c r="C39" i="33" s="1"/>
  <c r="C40" i="33" s="1"/>
  <c r="C41" i="33" s="1"/>
  <c r="C42" i="33" s="1"/>
  <c r="C87" i="34"/>
  <c r="C88" i="34" s="1"/>
  <c r="C89" i="34" s="1"/>
  <c r="C90" i="34" s="1"/>
  <c r="C91" i="34"/>
  <c r="C92" i="34" s="1"/>
  <c r="C93" i="34" s="1"/>
  <c r="C94" i="34" s="1"/>
  <c r="D24" i="33"/>
  <c r="D31" i="33" s="1"/>
  <c r="D32" i="33" s="1"/>
  <c r="O56" i="34"/>
  <c r="P56" i="34" s="1"/>
  <c r="N57" i="34" s="1"/>
  <c r="D81" i="34"/>
  <c r="D83" i="34"/>
  <c r="D84" i="34" s="1"/>
  <c r="D87" i="34" s="1"/>
  <c r="D88" i="34" s="1"/>
  <c r="D89" i="34" s="1"/>
  <c r="D79" i="34"/>
  <c r="E75" i="34"/>
  <c r="F74" i="34" s="1"/>
  <c r="C82" i="34"/>
  <c r="D78" i="34" s="1"/>
  <c r="O5" i="33"/>
  <c r="P5" i="33" s="1"/>
  <c r="N6" i="33" s="1"/>
  <c r="E23" i="33"/>
  <c r="E24" i="33" s="1"/>
  <c r="AC27" i="33"/>
  <c r="W27" i="33"/>
  <c r="U27" i="33"/>
  <c r="N27" i="33"/>
  <c r="V27" i="33"/>
  <c r="M27" i="33"/>
  <c r="AD27" i="33"/>
  <c r="AB27" i="33"/>
  <c r="R27" i="33"/>
  <c r="N4" i="14"/>
  <c r="D90" i="34" l="1"/>
  <c r="C35" i="33"/>
  <c r="C36" i="33" s="1"/>
  <c r="C37" i="33" s="1"/>
  <c r="C38" i="33" s="1"/>
  <c r="D27" i="33"/>
  <c r="D28" i="33" s="1"/>
  <c r="D29" i="33"/>
  <c r="D35" i="33"/>
  <c r="D36" i="33" s="1"/>
  <c r="D39" i="33"/>
  <c r="D40" i="33" s="1"/>
  <c r="D41" i="33" s="1"/>
  <c r="D42" i="33" s="1"/>
  <c r="O57" i="34"/>
  <c r="P57" i="34" s="1"/>
  <c r="N58" i="34" s="1"/>
  <c r="D80" i="34"/>
  <c r="D82" i="34" s="1"/>
  <c r="E78" i="34" s="1"/>
  <c r="E76" i="34"/>
  <c r="F75" i="34"/>
  <c r="G74" i="34" s="1"/>
  <c r="D91" i="34"/>
  <c r="O6" i="33"/>
  <c r="P6" i="33" s="1"/>
  <c r="N7" i="33" s="1"/>
  <c r="F22" i="33"/>
  <c r="F23" i="33" s="1"/>
  <c r="F24" i="33" s="1"/>
  <c r="E29" i="33"/>
  <c r="E27" i="33"/>
  <c r="E31" i="33"/>
  <c r="E32" i="33" s="1"/>
  <c r="C13" i="2"/>
  <c r="C14" i="2"/>
  <c r="C15" i="2"/>
  <c r="C16" i="2"/>
  <c r="C18" i="2"/>
  <c r="C19" i="2"/>
  <c r="O2" i="19"/>
  <c r="D92" i="34" l="1"/>
  <c r="D93" i="34" s="1"/>
  <c r="D94" i="34" s="1"/>
  <c r="D30" i="33"/>
  <c r="E26" i="33" s="1"/>
  <c r="E28" i="33" s="1"/>
  <c r="E30" i="33" s="1"/>
  <c r="F26" i="33" s="1"/>
  <c r="D37" i="33"/>
  <c r="D38" i="33" s="1"/>
  <c r="E35" i="33"/>
  <c r="E36" i="33" s="1"/>
  <c r="E39" i="33"/>
  <c r="E40" i="33" s="1"/>
  <c r="E41" i="33" s="1"/>
  <c r="E42" i="33" s="1"/>
  <c r="O58" i="34"/>
  <c r="P58" i="34" s="1"/>
  <c r="N59" i="34" s="1"/>
  <c r="F76" i="34"/>
  <c r="G75" i="34"/>
  <c r="H74" i="34" s="1"/>
  <c r="E81" i="34"/>
  <c r="E79" i="34"/>
  <c r="E80" i="34" s="1"/>
  <c r="E83" i="34"/>
  <c r="E84" i="34" s="1"/>
  <c r="O7" i="33"/>
  <c r="P7" i="33" s="1"/>
  <c r="N8" i="33" s="1"/>
  <c r="G22" i="33"/>
  <c r="F29" i="33"/>
  <c r="F27" i="33"/>
  <c r="F31" i="33"/>
  <c r="F32" i="33" s="1"/>
  <c r="F35" i="33" l="1"/>
  <c r="F36" i="33" s="1"/>
  <c r="F37" i="33" s="1"/>
  <c r="F39" i="33"/>
  <c r="F40" i="33" s="1"/>
  <c r="F41" i="33" s="1"/>
  <c r="F42" i="33" s="1"/>
  <c r="F28" i="33"/>
  <c r="F30" i="33" s="1"/>
  <c r="G26" i="33" s="1"/>
  <c r="E37" i="33"/>
  <c r="E38" i="33" s="1"/>
  <c r="O59" i="34"/>
  <c r="P59" i="34" s="1"/>
  <c r="N60" i="34" s="1"/>
  <c r="E82" i="34"/>
  <c r="F78" i="34" s="1"/>
  <c r="E91" i="34"/>
  <c r="E92" i="34" s="1"/>
  <c r="E87" i="34"/>
  <c r="E88" i="34" s="1"/>
  <c r="E89" i="34" s="1"/>
  <c r="E90" i="34" s="1"/>
  <c r="G76" i="34"/>
  <c r="H75" i="34"/>
  <c r="I74" i="34" s="1"/>
  <c r="F81" i="34"/>
  <c r="F83" i="34"/>
  <c r="F84" i="34" s="1"/>
  <c r="F79" i="34"/>
  <c r="O8" i="33"/>
  <c r="P8" i="33" s="1"/>
  <c r="N9" i="33" s="1"/>
  <c r="G23" i="33"/>
  <c r="G24" i="33" s="1"/>
  <c r="E93" i="34" l="1"/>
  <c r="E94" i="34" s="1"/>
  <c r="F38" i="33"/>
  <c r="F80" i="34"/>
  <c r="F82" i="34" s="1"/>
  <c r="G78" i="34" s="1"/>
  <c r="O60" i="34"/>
  <c r="P60" i="34" s="1"/>
  <c r="N61" i="34" s="1"/>
  <c r="H76" i="34"/>
  <c r="G83" i="34"/>
  <c r="G84" i="34" s="1"/>
  <c r="G79" i="34"/>
  <c r="G81" i="34"/>
  <c r="F91" i="34"/>
  <c r="F92" i="34" s="1"/>
  <c r="F87" i="34"/>
  <c r="F88" i="34" s="1"/>
  <c r="O9" i="33"/>
  <c r="P9" i="33" s="1"/>
  <c r="N10" i="33" s="1"/>
  <c r="H22" i="33"/>
  <c r="G29" i="33"/>
  <c r="G31" i="33"/>
  <c r="G32" i="33" s="1"/>
  <c r="G27" i="33"/>
  <c r="G28" i="33" s="1"/>
  <c r="F89" i="34" l="1"/>
  <c r="F90" i="34" s="1"/>
  <c r="F93" i="34"/>
  <c r="F94" i="34" s="1"/>
  <c r="G30" i="33"/>
  <c r="H26" i="33" s="1"/>
  <c r="G39" i="33"/>
  <c r="G40" i="33" s="1"/>
  <c r="G41" i="33" s="1"/>
  <c r="G42" i="33" s="1"/>
  <c r="G35" i="33"/>
  <c r="G36" i="33" s="1"/>
  <c r="G37" i="33" s="1"/>
  <c r="G38" i="33" s="1"/>
  <c r="O61" i="34"/>
  <c r="P61" i="34" s="1"/>
  <c r="N62" i="34" s="1"/>
  <c r="I75" i="34"/>
  <c r="G80" i="34"/>
  <c r="G82" i="34" s="1"/>
  <c r="H78" i="34" s="1"/>
  <c r="G91" i="34"/>
  <c r="G92" i="34" s="1"/>
  <c r="G87" i="34"/>
  <c r="G88" i="34" s="1"/>
  <c r="H83" i="34"/>
  <c r="H84" i="34" s="1"/>
  <c r="H79" i="34"/>
  <c r="H81" i="34"/>
  <c r="O10" i="33"/>
  <c r="P10" i="33" s="1"/>
  <c r="N11" i="33" s="1"/>
  <c r="H23" i="33"/>
  <c r="H24" i="33" s="1"/>
  <c r="G89" i="34" l="1"/>
  <c r="G90" i="34" s="1"/>
  <c r="G93" i="34"/>
  <c r="G94" i="34" s="1"/>
  <c r="I22" i="33"/>
  <c r="I23" i="33" s="1"/>
  <c r="I24" i="33" s="1"/>
  <c r="I76" i="34"/>
  <c r="I83" i="34" s="1"/>
  <c r="I84" i="34" s="1"/>
  <c r="J74" i="34"/>
  <c r="J75" i="34" s="1"/>
  <c r="J76" i="34" s="1"/>
  <c r="O62" i="34"/>
  <c r="P62" i="34" s="1"/>
  <c r="N63" i="34" s="1"/>
  <c r="H80" i="34"/>
  <c r="H82" i="34" s="1"/>
  <c r="I78" i="34" s="1"/>
  <c r="H91" i="34"/>
  <c r="H92" i="34" s="1"/>
  <c r="H87" i="34"/>
  <c r="H88" i="34" s="1"/>
  <c r="O11" i="33"/>
  <c r="P11" i="33" s="1"/>
  <c r="H29" i="33"/>
  <c r="H31" i="33"/>
  <c r="H32" i="33" s="1"/>
  <c r="H27" i="33"/>
  <c r="H28" i="33" s="1"/>
  <c r="Q90" i="20"/>
  <c r="P90" i="20"/>
  <c r="N90" i="20"/>
  <c r="M90" i="20"/>
  <c r="H89" i="34" l="1"/>
  <c r="H90" i="34" s="1"/>
  <c r="H93" i="34"/>
  <c r="H94" i="34" s="1"/>
  <c r="H39" i="33"/>
  <c r="H40" i="33" s="1"/>
  <c r="H41" i="33" s="1"/>
  <c r="H42" i="33" s="1"/>
  <c r="H35" i="33"/>
  <c r="H36" i="33" s="1"/>
  <c r="H37" i="33" s="1"/>
  <c r="H38" i="33" s="1"/>
  <c r="J22" i="33"/>
  <c r="J23" i="33" s="1"/>
  <c r="J24" i="33" s="1"/>
  <c r="I81" i="34"/>
  <c r="I79" i="34"/>
  <c r="I80" i="34" s="1"/>
  <c r="K74" i="34"/>
  <c r="O63" i="34"/>
  <c r="P63" i="34" s="1"/>
  <c r="J83" i="34"/>
  <c r="J84" i="34" s="1"/>
  <c r="J79" i="34"/>
  <c r="J81" i="34"/>
  <c r="I91" i="34"/>
  <c r="I92" i="34" s="1"/>
  <c r="I87" i="34"/>
  <c r="I88" i="34" s="1"/>
  <c r="H30" i="33"/>
  <c r="I26" i="33" s="1"/>
  <c r="I31" i="33"/>
  <c r="I32" i="33" s="1"/>
  <c r="I27" i="33"/>
  <c r="I29" i="33"/>
  <c r="I89" i="34" l="1"/>
  <c r="I90" i="34" s="1"/>
  <c r="I93" i="34"/>
  <c r="I94" i="34" s="1"/>
  <c r="I28" i="33"/>
  <c r="I30" i="33" s="1"/>
  <c r="J26" i="33" s="1"/>
  <c r="I39" i="33"/>
  <c r="I40" i="33" s="1"/>
  <c r="I41" i="33" s="1"/>
  <c r="I42" i="33" s="1"/>
  <c r="I35" i="33"/>
  <c r="I36" i="33" s="1"/>
  <c r="I37" i="33" s="1"/>
  <c r="I38" i="33" s="1"/>
  <c r="I82" i="34"/>
  <c r="J78" i="34" s="1"/>
  <c r="J80" i="34" s="1"/>
  <c r="J82" i="34" s="1"/>
  <c r="K78" i="34" s="1"/>
  <c r="K75" i="34"/>
  <c r="L74" i="34" s="1"/>
  <c r="J91" i="34"/>
  <c r="J92" i="34" s="1"/>
  <c r="J87" i="34"/>
  <c r="J88" i="34" s="1"/>
  <c r="J27" i="33"/>
  <c r="K22" i="33"/>
  <c r="J93" i="34" l="1"/>
  <c r="J94" i="34" s="1"/>
  <c r="J89" i="34"/>
  <c r="J90" i="34" s="1"/>
  <c r="K76" i="34"/>
  <c r="K83" i="34" s="1"/>
  <c r="K84" i="34" s="1"/>
  <c r="J28" i="33"/>
  <c r="L75" i="34"/>
  <c r="L76" i="34" s="1"/>
  <c r="J29" i="33"/>
  <c r="J31" i="33" s="1"/>
  <c r="J32" i="33" s="1"/>
  <c r="K23" i="33"/>
  <c r="K24" i="33" s="1"/>
  <c r="K81" i="34" l="1"/>
  <c r="K79" i="34"/>
  <c r="K80" i="34" s="1"/>
  <c r="L22" i="33"/>
  <c r="L23" i="33" s="1"/>
  <c r="L24" i="33" s="1"/>
  <c r="L27" i="33" s="1"/>
  <c r="J39" i="33"/>
  <c r="J40" i="33" s="1"/>
  <c r="J41" i="33" s="1"/>
  <c r="J42" i="33" s="1"/>
  <c r="J35" i="33"/>
  <c r="J36" i="33" s="1"/>
  <c r="J37" i="33" s="1"/>
  <c r="J38" i="33" s="1"/>
  <c r="L81" i="34"/>
  <c r="L83" i="34"/>
  <c r="L84" i="34" s="1"/>
  <c r="L87" i="34" s="1"/>
  <c r="L88" i="34" s="1"/>
  <c r="L89" i="34" s="1"/>
  <c r="L79" i="34"/>
  <c r="K91" i="34"/>
  <c r="K92" i="34" s="1"/>
  <c r="K87" i="34"/>
  <c r="K88" i="34" s="1"/>
  <c r="K27" i="33"/>
  <c r="J30" i="33"/>
  <c r="K26" i="33" s="1"/>
  <c r="C17" i="22"/>
  <c r="C9" i="22"/>
  <c r="F17" i="22"/>
  <c r="G17" i="22"/>
  <c r="H17" i="22"/>
  <c r="I17" i="22"/>
  <c r="J17" i="22"/>
  <c r="K17" i="22"/>
  <c r="L17" i="22"/>
  <c r="D17" i="22"/>
  <c r="D18" i="22" l="1"/>
  <c r="AH18" i="22"/>
  <c r="AP18" i="22"/>
  <c r="AI18" i="22"/>
  <c r="AF18" i="22"/>
  <c r="AK18" i="22"/>
  <c r="AJ18" i="22"/>
  <c r="AN18" i="22"/>
  <c r="AO18" i="22"/>
  <c r="AL18" i="22"/>
  <c r="AM18" i="22"/>
  <c r="AG18" i="22"/>
  <c r="K82" i="34"/>
  <c r="L78" i="34" s="1"/>
  <c r="L80" i="34" s="1"/>
  <c r="L82" i="34" s="1"/>
  <c r="M78" i="34" s="1"/>
  <c r="M80" i="34" s="1"/>
  <c r="M82" i="34" s="1"/>
  <c r="N78" i="34" s="1"/>
  <c r="N80" i="34" s="1"/>
  <c r="N82" i="34" s="1"/>
  <c r="O78" i="34" s="1"/>
  <c r="O80" i="34" s="1"/>
  <c r="O82" i="34" s="1"/>
  <c r="P78" i="34" s="1"/>
  <c r="P80" i="34" s="1"/>
  <c r="P82" i="34" s="1"/>
  <c r="Q78" i="34" s="1"/>
  <c r="Q80" i="34" s="1"/>
  <c r="Q82" i="34" s="1"/>
  <c r="R78" i="34" s="1"/>
  <c r="R80" i="34" s="1"/>
  <c r="R82" i="34" s="1"/>
  <c r="S78" i="34" s="1"/>
  <c r="S80" i="34" s="1"/>
  <c r="S82" i="34" s="1"/>
  <c r="T78" i="34" s="1"/>
  <c r="T80" i="34" s="1"/>
  <c r="T82" i="34" s="1"/>
  <c r="U78" i="34" s="1"/>
  <c r="U80" i="34" s="1"/>
  <c r="U82" i="34" s="1"/>
  <c r="V78" i="34" s="1"/>
  <c r="V80" i="34" s="1"/>
  <c r="V82" i="34" s="1"/>
  <c r="W78" i="34" s="1"/>
  <c r="W80" i="34" s="1"/>
  <c r="W82" i="34" s="1"/>
  <c r="X78" i="34" s="1"/>
  <c r="X80" i="34" s="1"/>
  <c r="X82" i="34" s="1"/>
  <c r="Y78" i="34" s="1"/>
  <c r="Y80" i="34" s="1"/>
  <c r="Y82" i="34" s="1"/>
  <c r="Z78" i="34" s="1"/>
  <c r="Z80" i="34" s="1"/>
  <c r="Z82" i="34" s="1"/>
  <c r="AA78" i="34" s="1"/>
  <c r="AA80" i="34" s="1"/>
  <c r="AA82" i="34" s="1"/>
  <c r="AB78" i="34" s="1"/>
  <c r="AB80" i="34" s="1"/>
  <c r="AB82" i="34" s="1"/>
  <c r="AC78" i="34" s="1"/>
  <c r="AC80" i="34" s="1"/>
  <c r="AC82" i="34" s="1"/>
  <c r="AD78" i="34" s="1"/>
  <c r="AD80" i="34" s="1"/>
  <c r="AD82" i="34" s="1"/>
  <c r="AE78" i="34" s="1"/>
  <c r="AE80" i="34" s="1"/>
  <c r="AE82" i="34" s="1"/>
  <c r="AF78" i="34" s="1"/>
  <c r="AF80" i="34" s="1"/>
  <c r="AF82" i="34" s="1"/>
  <c r="L91" i="34"/>
  <c r="L92" i="34" s="1"/>
  <c r="L93" i="34" s="1"/>
  <c r="K93" i="34"/>
  <c r="K94" i="34" s="1"/>
  <c r="K89" i="34"/>
  <c r="K90" i="34" s="1"/>
  <c r="L90" i="34" s="1"/>
  <c r="M90" i="34" s="1"/>
  <c r="N90" i="34" s="1"/>
  <c r="O90" i="34" s="1"/>
  <c r="P90" i="34" s="1"/>
  <c r="Q90" i="34" s="1"/>
  <c r="R90" i="34" s="1"/>
  <c r="S90" i="34" s="1"/>
  <c r="T90" i="34" s="1"/>
  <c r="U90" i="34" s="1"/>
  <c r="V90" i="34" s="1"/>
  <c r="W90" i="34" s="1"/>
  <c r="X90" i="34" s="1"/>
  <c r="Y90" i="34" s="1"/>
  <c r="Z90" i="34" s="1"/>
  <c r="AA90" i="34" s="1"/>
  <c r="AB90" i="34" s="1"/>
  <c r="AC90" i="34" s="1"/>
  <c r="AD90" i="34" s="1"/>
  <c r="AE90" i="34" s="1"/>
  <c r="AF90" i="34" s="1"/>
  <c r="K28" i="33"/>
  <c r="AD18" i="22"/>
  <c r="X18" i="22"/>
  <c r="H18" i="22"/>
  <c r="V18" i="22"/>
  <c r="P18" i="22"/>
  <c r="N18" i="22"/>
  <c r="AE18" i="22"/>
  <c r="W18" i="22"/>
  <c r="O18" i="22"/>
  <c r="G18" i="22"/>
  <c r="AC18" i="22"/>
  <c r="U18" i="22"/>
  <c r="M18" i="22"/>
  <c r="E18" i="22"/>
  <c r="F18" i="22"/>
  <c r="AB18" i="22"/>
  <c r="T18" i="22"/>
  <c r="L18" i="22"/>
  <c r="AA18" i="22"/>
  <c r="S18" i="22"/>
  <c r="K18" i="22"/>
  <c r="Z18" i="22"/>
  <c r="R18" i="22"/>
  <c r="J18" i="22"/>
  <c r="C18" i="22"/>
  <c r="Y18" i="22"/>
  <c r="Q18" i="22"/>
  <c r="I18" i="22"/>
  <c r="L94" i="34" l="1"/>
  <c r="M94" i="34" s="1"/>
  <c r="N94" i="34" s="1"/>
  <c r="O94" i="34" s="1"/>
  <c r="P94" i="34" s="1"/>
  <c r="Q94" i="34" s="1"/>
  <c r="R94" i="34" s="1"/>
  <c r="S94" i="34" s="1"/>
  <c r="T94" i="34" s="1"/>
  <c r="U94" i="34" s="1"/>
  <c r="V94" i="34" s="1"/>
  <c r="W94" i="34" s="1"/>
  <c r="X94" i="34" s="1"/>
  <c r="Y94" i="34" s="1"/>
  <c r="Z94" i="34" s="1"/>
  <c r="AA94" i="34" s="1"/>
  <c r="AB94" i="34" s="1"/>
  <c r="AC94" i="34" s="1"/>
  <c r="AD94" i="34" s="1"/>
  <c r="AE94" i="34" s="1"/>
  <c r="AF94" i="34" s="1"/>
  <c r="G64" i="34" s="1"/>
  <c r="K29" i="33"/>
  <c r="K31" i="33" s="1"/>
  <c r="K32" i="33" s="1"/>
  <c r="K35" i="33" l="1"/>
  <c r="K36" i="33" s="1"/>
  <c r="K37" i="33" s="1"/>
  <c r="K38" i="33" s="1"/>
  <c r="K39" i="33"/>
  <c r="K40" i="33" s="1"/>
  <c r="K41" i="33" s="1"/>
  <c r="K42" i="33" s="1"/>
  <c r="K30" i="33"/>
  <c r="L26" i="33" s="1"/>
  <c r="L28" i="33" s="1"/>
  <c r="I3" i="2"/>
  <c r="L29" i="33" l="1"/>
  <c r="L31" i="33" s="1"/>
  <c r="L32" i="33" s="1"/>
  <c r="L35" i="33" l="1"/>
  <c r="L36" i="33" s="1"/>
  <c r="L37" i="33" s="1"/>
  <c r="L38" i="33" s="1"/>
  <c r="L39" i="33"/>
  <c r="L40" i="33" s="1"/>
  <c r="L41" i="33" s="1"/>
  <c r="L42" i="33" s="1"/>
  <c r="L30" i="33"/>
  <c r="M26" i="33" s="1"/>
  <c r="M28" i="33" s="1"/>
  <c r="M29" i="33" l="1"/>
  <c r="M31" i="33" s="1"/>
  <c r="M32" i="33" s="1"/>
  <c r="R6" i="18"/>
  <c r="M35" i="33" l="1"/>
  <c r="M36" i="33" s="1"/>
  <c r="M37" i="33" s="1"/>
  <c r="M38" i="33" s="1"/>
  <c r="M39" i="33"/>
  <c r="M40" i="33" s="1"/>
  <c r="M41" i="33" s="1"/>
  <c r="M42" i="33" s="1"/>
  <c r="M30" i="33"/>
  <c r="N26" i="33" s="1"/>
  <c r="N28" i="33" s="1"/>
  <c r="N29" i="33" l="1"/>
  <c r="N31" i="33" s="1"/>
  <c r="N32" i="33" s="1"/>
  <c r="O26" i="19"/>
  <c r="O24" i="19"/>
  <c r="O22" i="19"/>
  <c r="O20" i="19"/>
  <c r="O18" i="19"/>
  <c r="O16" i="19"/>
  <c r="O14" i="19"/>
  <c r="O12" i="19"/>
  <c r="O10" i="19"/>
  <c r="O8" i="19"/>
  <c r="O6" i="19"/>
  <c r="O4" i="19"/>
  <c r="N35" i="33" l="1"/>
  <c r="N36" i="33" s="1"/>
  <c r="N37" i="33" s="1"/>
  <c r="N38" i="33" s="1"/>
  <c r="N39" i="33"/>
  <c r="N40" i="33" s="1"/>
  <c r="N41" i="33" s="1"/>
  <c r="N42" i="33" s="1"/>
  <c r="N30" i="33"/>
  <c r="O26" i="33" s="1"/>
  <c r="O28" i="33" s="1"/>
  <c r="R10" i="18"/>
  <c r="R12" i="18"/>
  <c r="R14" i="18"/>
  <c r="R16" i="18"/>
  <c r="O29" i="33" l="1"/>
  <c r="O31" i="33" s="1"/>
  <c r="O32" i="33" s="1"/>
  <c r="R8" i="18"/>
  <c r="R4" i="18"/>
  <c r="R2" i="18"/>
  <c r="O39" i="33" l="1"/>
  <c r="O40" i="33" s="1"/>
  <c r="O41" i="33" s="1"/>
  <c r="O42" i="33" s="1"/>
  <c r="O35" i="33"/>
  <c r="O36" i="33" s="1"/>
  <c r="O37" i="33" s="1"/>
  <c r="O38" i="33" s="1"/>
  <c r="O30" i="33"/>
  <c r="P26" i="33" s="1"/>
  <c r="P28" i="33" s="1"/>
  <c r="R18" i="18"/>
  <c r="R20" i="18"/>
  <c r="R22" i="18"/>
  <c r="R24" i="18"/>
  <c r="R26" i="18"/>
  <c r="T4" i="18"/>
  <c r="T26" i="18"/>
  <c r="T24" i="18"/>
  <c r="T22" i="18"/>
  <c r="T18" i="18"/>
  <c r="T20" i="18"/>
  <c r="T16" i="18"/>
  <c r="T14" i="18"/>
  <c r="T12" i="18"/>
  <c r="T10" i="18"/>
  <c r="T8" i="18"/>
  <c r="T6" i="18"/>
  <c r="V22" i="18"/>
  <c r="V24" i="18"/>
  <c r="V4" i="18"/>
  <c r="V20" i="18"/>
  <c r="V18" i="18"/>
  <c r="V10" i="18"/>
  <c r="V12" i="18"/>
  <c r="V8" i="18"/>
  <c r="V6" i="18"/>
  <c r="P29" i="33" l="1"/>
  <c r="P31" i="33" s="1"/>
  <c r="P32" i="33" s="1"/>
  <c r="U4" i="18"/>
  <c r="U8" i="18"/>
  <c r="U14" i="18"/>
  <c r="U16" i="18"/>
  <c r="U18" i="18"/>
  <c r="U20" i="18"/>
  <c r="U22" i="18"/>
  <c r="U24" i="18"/>
  <c r="U26" i="18"/>
  <c r="V2" i="18"/>
  <c r="P39" i="33" l="1"/>
  <c r="P40" i="33" s="1"/>
  <c r="P41" i="33" s="1"/>
  <c r="P42" i="33" s="1"/>
  <c r="P35" i="33"/>
  <c r="P36" i="33" s="1"/>
  <c r="P37" i="33" s="1"/>
  <c r="P38" i="33" s="1"/>
  <c r="P30" i="33"/>
  <c r="Q26" i="33" s="1"/>
  <c r="Q28" i="33" s="1"/>
  <c r="F8" i="12"/>
  <c r="G8" i="12"/>
  <c r="C8" i="12"/>
  <c r="Q29" i="33" l="1"/>
  <c r="Q31" i="33" s="1"/>
  <c r="Q32" i="33" s="1"/>
  <c r="G25" i="3"/>
  <c r="Q39" i="33" l="1"/>
  <c r="Q40" i="33" s="1"/>
  <c r="Q41" i="33" s="1"/>
  <c r="Q42" i="33" s="1"/>
  <c r="Q35" i="33"/>
  <c r="Q36" i="33" s="1"/>
  <c r="Q37" i="33" s="1"/>
  <c r="Q38" i="33" s="1"/>
  <c r="Q30" i="33"/>
  <c r="R26" i="33" s="1"/>
  <c r="R28" i="33" s="1"/>
  <c r="R29" i="33"/>
  <c r="R31" i="33" s="1"/>
  <c r="R32" i="33" s="1"/>
  <c r="R24" i="3"/>
  <c r="R23" i="3"/>
  <c r="R22" i="3"/>
  <c r="R21" i="3"/>
  <c r="O2" i="12"/>
  <c r="I4" i="3"/>
  <c r="R39" i="33" l="1"/>
  <c r="R40" i="33" s="1"/>
  <c r="R41" i="33" s="1"/>
  <c r="R42" i="33" s="1"/>
  <c r="R35" i="33"/>
  <c r="R36" i="33" s="1"/>
  <c r="R37" i="33" s="1"/>
  <c r="R38" i="33" s="1"/>
  <c r="R30" i="33"/>
  <c r="S26" i="33" s="1"/>
  <c r="S28" i="33" s="1"/>
  <c r="O2" i="2"/>
  <c r="O2" i="3"/>
  <c r="S1" i="5"/>
  <c r="S29" i="33" l="1"/>
  <c r="S31" i="33" s="1"/>
  <c r="S32" i="33" s="1"/>
  <c r="O2" i="1"/>
  <c r="I7" i="1"/>
  <c r="I7" i="2"/>
  <c r="I7" i="12"/>
  <c r="I7" i="3"/>
  <c r="S35" i="33" l="1"/>
  <c r="S36" i="33" s="1"/>
  <c r="S37" i="33" s="1"/>
  <c r="S38" i="33" s="1"/>
  <c r="S39" i="33"/>
  <c r="S40" i="33" s="1"/>
  <c r="S41" i="33" s="1"/>
  <c r="S42" i="33" s="1"/>
  <c r="S30" i="33"/>
  <c r="T26" i="33" s="1"/>
  <c r="T28" i="33" s="1"/>
  <c r="C25" i="12"/>
  <c r="C24" i="12"/>
  <c r="C22" i="12"/>
  <c r="C21" i="12"/>
  <c r="C20" i="12"/>
  <c r="C19" i="12"/>
  <c r="C17" i="12"/>
  <c r="C16" i="12"/>
  <c r="C15" i="12"/>
  <c r="C14" i="12"/>
  <c r="C10" i="12"/>
  <c r="C9" i="12"/>
  <c r="C7" i="12"/>
  <c r="C6" i="12"/>
  <c r="C5" i="12"/>
  <c r="C3" i="12"/>
  <c r="C11" i="2"/>
  <c r="C10" i="2"/>
  <c r="C9" i="2"/>
  <c r="C8" i="2"/>
  <c r="C7" i="2"/>
  <c r="C6" i="2"/>
  <c r="C5" i="2"/>
  <c r="C3" i="2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C3" i="1"/>
  <c r="T29" i="33" l="1"/>
  <c r="T31" i="33" s="1"/>
  <c r="T32" i="33" s="1"/>
  <c r="G3" i="14"/>
  <c r="F3" i="14"/>
  <c r="E3" i="14"/>
  <c r="D3" i="14"/>
  <c r="T35" i="33" l="1"/>
  <c r="T36" i="33" s="1"/>
  <c r="T37" i="33" s="1"/>
  <c r="T38" i="33" s="1"/>
  <c r="T39" i="33"/>
  <c r="T40" i="33" s="1"/>
  <c r="T41" i="33" s="1"/>
  <c r="T42" i="33" s="1"/>
  <c r="T30" i="33"/>
  <c r="U26" i="33" s="1"/>
  <c r="U28" i="33" s="1"/>
  <c r="I3" i="12"/>
  <c r="I3" i="3"/>
  <c r="I3" i="1"/>
  <c r="T26" i="12"/>
  <c r="R27" i="12" s="1"/>
  <c r="X27" i="12" s="1"/>
  <c r="J12" i="12" s="1"/>
  <c r="I12" i="12" s="1"/>
  <c r="J13" i="12"/>
  <c r="J11" i="12"/>
  <c r="J13" i="2"/>
  <c r="J11" i="2"/>
  <c r="T26" i="2"/>
  <c r="R27" i="2" s="1"/>
  <c r="X27" i="2" s="1"/>
  <c r="J12" i="2" s="1"/>
  <c r="I12" i="2" s="1"/>
  <c r="T26" i="1"/>
  <c r="R27" i="1" s="1"/>
  <c r="X27" i="1" s="1"/>
  <c r="J12" i="1" s="1"/>
  <c r="I12" i="1" s="1"/>
  <c r="J13" i="1"/>
  <c r="J11" i="1"/>
  <c r="U29" i="33" l="1"/>
  <c r="U31" i="33" s="1"/>
  <c r="U32" i="33" s="1"/>
  <c r="T26" i="3"/>
  <c r="R27" i="3" s="1"/>
  <c r="X27" i="3" s="1"/>
  <c r="J13" i="3"/>
  <c r="J11" i="3"/>
  <c r="U35" i="33" l="1"/>
  <c r="U36" i="33" s="1"/>
  <c r="U37" i="33" s="1"/>
  <c r="U38" i="33" s="1"/>
  <c r="U39" i="33"/>
  <c r="U40" i="33" s="1"/>
  <c r="U41" i="33" s="1"/>
  <c r="U42" i="33" s="1"/>
  <c r="U30" i="33"/>
  <c r="V26" i="33" s="1"/>
  <c r="V28" i="33" s="1"/>
  <c r="J12" i="3"/>
  <c r="I12" i="3" s="1"/>
  <c r="H6" i="4"/>
  <c r="G6" i="4"/>
  <c r="E6" i="4"/>
  <c r="F6" i="4"/>
  <c r="V29" i="33" l="1"/>
  <c r="V31" i="33" s="1"/>
  <c r="V32" i="33" s="1"/>
  <c r="J13" i="6"/>
  <c r="J1" i="3"/>
  <c r="V35" i="33" l="1"/>
  <c r="V36" i="33" s="1"/>
  <c r="V37" i="33" s="1"/>
  <c r="V38" i="33" s="1"/>
  <c r="V39" i="33"/>
  <c r="V40" i="33" s="1"/>
  <c r="V41" i="33" s="1"/>
  <c r="V42" i="33" s="1"/>
  <c r="V30" i="33"/>
  <c r="W26" i="33" s="1"/>
  <c r="W28" i="33" s="1"/>
  <c r="W29" i="33" l="1"/>
  <c r="W31" i="33" s="1"/>
  <c r="W32" i="33" s="1"/>
  <c r="F5" i="4"/>
  <c r="H2" i="4"/>
  <c r="G2" i="4"/>
  <c r="E2" i="4"/>
  <c r="F2" i="4"/>
  <c r="G21" i="2"/>
  <c r="F21" i="2"/>
  <c r="H7" i="4"/>
  <c r="I4" i="1"/>
  <c r="I4" i="12"/>
  <c r="H5" i="4" s="1"/>
  <c r="I4" i="2"/>
  <c r="G5" i="4" s="1"/>
  <c r="D19" i="5"/>
  <c r="I9" i="12"/>
  <c r="I8" i="12"/>
  <c r="G27" i="12"/>
  <c r="G25" i="12"/>
  <c r="F25" i="12"/>
  <c r="G23" i="12"/>
  <c r="F23" i="12"/>
  <c r="T19" i="1"/>
  <c r="L11" i="1" s="1"/>
  <c r="I11" i="1" s="1"/>
  <c r="T19" i="2"/>
  <c r="L11" i="2" s="1"/>
  <c r="I11" i="2" s="1"/>
  <c r="T19" i="12"/>
  <c r="L11" i="12" s="1"/>
  <c r="I11" i="12" s="1"/>
  <c r="T19" i="3"/>
  <c r="L11" i="3" s="1"/>
  <c r="I11" i="3" s="1"/>
  <c r="G19" i="2"/>
  <c r="F19" i="2"/>
  <c r="F17" i="2"/>
  <c r="F12" i="2"/>
  <c r="G12" i="2" s="1"/>
  <c r="G8" i="2"/>
  <c r="F8" i="2"/>
  <c r="F17" i="3"/>
  <c r="G19" i="3"/>
  <c r="F19" i="3"/>
  <c r="F12" i="3"/>
  <c r="G8" i="3"/>
  <c r="F8" i="3"/>
  <c r="G19" i="1"/>
  <c r="F19" i="1"/>
  <c r="F17" i="1"/>
  <c r="F12" i="1"/>
  <c r="G12" i="1" s="1"/>
  <c r="G8" i="1"/>
  <c r="F8" i="1"/>
  <c r="R3" i="1"/>
  <c r="R8" i="1" s="1"/>
  <c r="O3" i="1" s="1"/>
  <c r="W39" i="33" l="1"/>
  <c r="W40" i="33" s="1"/>
  <c r="W41" i="33" s="1"/>
  <c r="W42" i="33" s="1"/>
  <c r="W35" i="33"/>
  <c r="W36" i="33" s="1"/>
  <c r="W37" i="33" s="1"/>
  <c r="W38" i="33" s="1"/>
  <c r="W30" i="33"/>
  <c r="X26" i="33" s="1"/>
  <c r="X28" i="33" s="1"/>
  <c r="C29" i="12"/>
  <c r="G24" i="2"/>
  <c r="I6" i="2" s="1"/>
  <c r="H4" i="4"/>
  <c r="X29" i="33" l="1"/>
  <c r="X31" i="33" s="1"/>
  <c r="X32" i="33" s="1"/>
  <c r="F6" i="14"/>
  <c r="D2" i="14"/>
  <c r="G7" i="4"/>
  <c r="E7" i="4"/>
  <c r="F7" i="4"/>
  <c r="R14" i="2"/>
  <c r="R24" i="2"/>
  <c r="V24" i="2" s="1"/>
  <c r="R23" i="2"/>
  <c r="V23" i="2" s="1"/>
  <c r="R22" i="2"/>
  <c r="V22" i="2" s="1"/>
  <c r="R21" i="2"/>
  <c r="R24" i="1"/>
  <c r="V24" i="1" s="1"/>
  <c r="R23" i="1"/>
  <c r="V23" i="1" s="1"/>
  <c r="R22" i="1"/>
  <c r="V22" i="1" s="1"/>
  <c r="R21" i="1"/>
  <c r="V24" i="3"/>
  <c r="V23" i="3"/>
  <c r="V22" i="3"/>
  <c r="X39" i="33" l="1"/>
  <c r="X40" i="33" s="1"/>
  <c r="X41" i="33" s="1"/>
  <c r="X42" i="33" s="1"/>
  <c r="X35" i="33"/>
  <c r="X36" i="33" s="1"/>
  <c r="X37" i="33" s="1"/>
  <c r="X38" i="33" s="1"/>
  <c r="X30" i="33"/>
  <c r="Y26" i="33" s="1"/>
  <c r="Y28" i="33" s="1"/>
  <c r="I13" i="2"/>
  <c r="C22" i="2" s="1"/>
  <c r="I13" i="3"/>
  <c r="C22" i="3" s="1"/>
  <c r="I13" i="1"/>
  <c r="C22" i="1" s="1"/>
  <c r="I24" i="1"/>
  <c r="V21" i="3"/>
  <c r="V21" i="1"/>
  <c r="V21" i="2"/>
  <c r="Y29" i="33" l="1"/>
  <c r="Y31" i="33" s="1"/>
  <c r="Y32" i="33" s="1"/>
  <c r="R24" i="12"/>
  <c r="V24" i="12" s="1"/>
  <c r="R23" i="12"/>
  <c r="V23" i="12" s="1"/>
  <c r="R22" i="12"/>
  <c r="V22" i="12" s="1"/>
  <c r="R21" i="12"/>
  <c r="Y39" i="33" l="1"/>
  <c r="Y40" i="33" s="1"/>
  <c r="Y41" i="33" s="1"/>
  <c r="Y42" i="33" s="1"/>
  <c r="Y35" i="33"/>
  <c r="Y36" i="33" s="1"/>
  <c r="Y37" i="33" s="1"/>
  <c r="Y38" i="33" s="1"/>
  <c r="Y30" i="33"/>
  <c r="Z26" i="33" s="1"/>
  <c r="Z28" i="33" s="1"/>
  <c r="I13" i="12"/>
  <c r="C28" i="12" s="1"/>
  <c r="C30" i="12" s="1"/>
  <c r="F5" i="7" s="1"/>
  <c r="F17" i="7" s="1"/>
  <c r="V21" i="12"/>
  <c r="Z29" i="33" l="1"/>
  <c r="Z31" i="33" s="1"/>
  <c r="Z32" i="33" s="1"/>
  <c r="F8" i="7"/>
  <c r="F11" i="7"/>
  <c r="F20" i="7"/>
  <c r="F23" i="7"/>
  <c r="F26" i="7"/>
  <c r="Z39" i="33" l="1"/>
  <c r="Z40" i="33" s="1"/>
  <c r="Z41" i="33" s="1"/>
  <c r="Z42" i="33" s="1"/>
  <c r="Z35" i="33"/>
  <c r="Z36" i="33" s="1"/>
  <c r="Z37" i="33" s="1"/>
  <c r="Z38" i="33" s="1"/>
  <c r="Z30" i="33"/>
  <c r="AA26" i="33" s="1"/>
  <c r="AA28" i="33" s="1"/>
  <c r="F29" i="7"/>
  <c r="F14" i="7"/>
  <c r="R14" i="12"/>
  <c r="I17" i="12"/>
  <c r="F18" i="12"/>
  <c r="R3" i="12"/>
  <c r="R8" i="12" s="1"/>
  <c r="O3" i="12" s="1"/>
  <c r="G2" i="14" s="1"/>
  <c r="G9" i="4"/>
  <c r="AA29" i="33" l="1"/>
  <c r="AA31" i="33" s="1"/>
  <c r="AA32" i="33" s="1"/>
  <c r="F32" i="7"/>
  <c r="K26" i="5" s="1"/>
  <c r="V9" i="5" s="1"/>
  <c r="I24" i="12"/>
  <c r="F30" i="12"/>
  <c r="K4" i="5" s="1"/>
  <c r="V4" i="5" s="1"/>
  <c r="G18" i="12"/>
  <c r="G30" i="12" s="1"/>
  <c r="I6" i="12" s="1"/>
  <c r="G6" i="14" s="1"/>
  <c r="AA35" i="33" l="1"/>
  <c r="AA36" i="33" s="1"/>
  <c r="AA37" i="33" s="1"/>
  <c r="AA38" i="33" s="1"/>
  <c r="AA39" i="33"/>
  <c r="AA40" i="33" s="1"/>
  <c r="AA41" i="33" s="1"/>
  <c r="AA42" i="33" s="1"/>
  <c r="AA30" i="33"/>
  <c r="AB26" i="33" s="1"/>
  <c r="AB28" i="33" s="1"/>
  <c r="F41" i="7"/>
  <c r="K14" i="5"/>
  <c r="K12" i="5" s="1"/>
  <c r="K16" i="5" s="1"/>
  <c r="F35" i="7"/>
  <c r="K24" i="5"/>
  <c r="V8" i="5" s="1"/>
  <c r="F38" i="7"/>
  <c r="G21" i="1"/>
  <c r="G24" i="1" s="1"/>
  <c r="I6" i="1" s="1"/>
  <c r="D6" i="14" s="1"/>
  <c r="G21" i="3"/>
  <c r="R14" i="3"/>
  <c r="R14" i="1"/>
  <c r="AB29" i="33" l="1"/>
  <c r="AB31" i="33" s="1"/>
  <c r="AB32" i="33" s="1"/>
  <c r="F44" i="7"/>
  <c r="C1" i="39" s="1"/>
  <c r="K18" i="5"/>
  <c r="K17" i="5"/>
  <c r="I21" i="1"/>
  <c r="E9" i="4"/>
  <c r="E5" i="4"/>
  <c r="E4" i="4"/>
  <c r="R3" i="2"/>
  <c r="R8" i="2" s="1"/>
  <c r="O3" i="2" s="1"/>
  <c r="I17" i="2"/>
  <c r="I9" i="2"/>
  <c r="I8" i="2"/>
  <c r="E3" i="39" l="1"/>
  <c r="C2" i="39"/>
  <c r="C8" i="39" s="1"/>
  <c r="E4" i="39"/>
  <c r="AB35" i="33"/>
  <c r="AB36" i="33" s="1"/>
  <c r="AB37" i="33" s="1"/>
  <c r="AB38" i="33" s="1"/>
  <c r="AB39" i="33"/>
  <c r="AB40" i="33" s="1"/>
  <c r="AB41" i="33" s="1"/>
  <c r="AB42" i="33" s="1"/>
  <c r="AB30" i="33"/>
  <c r="AC26" i="33" s="1"/>
  <c r="AC28" i="33" s="1"/>
  <c r="C23" i="2"/>
  <c r="C24" i="2" s="1"/>
  <c r="F2" i="14"/>
  <c r="I21" i="2"/>
  <c r="I14" i="12"/>
  <c r="G4" i="14"/>
  <c r="K11" i="5"/>
  <c r="V6" i="5" s="1"/>
  <c r="I24" i="2"/>
  <c r="F24" i="2"/>
  <c r="J4" i="5" s="1"/>
  <c r="G4" i="4"/>
  <c r="F4" i="4"/>
  <c r="I9" i="1"/>
  <c r="I8" i="1"/>
  <c r="C23" i="1" s="1"/>
  <c r="C24" i="1" s="1"/>
  <c r="C5" i="7" s="1"/>
  <c r="I8" i="3"/>
  <c r="C23" i="3" s="1"/>
  <c r="C24" i="3" s="1"/>
  <c r="D5" i="7" s="1"/>
  <c r="I9" i="3"/>
  <c r="I21" i="39" l="1"/>
  <c r="H21" i="39"/>
  <c r="G21" i="39"/>
  <c r="F21" i="39"/>
  <c r="E21" i="39"/>
  <c r="D21" i="39"/>
  <c r="C21" i="39"/>
  <c r="O2" i="39"/>
  <c r="P2" i="39" s="1"/>
  <c r="Q2" i="39" s="1"/>
  <c r="O3" i="39" s="1"/>
  <c r="P3" i="39" s="1"/>
  <c r="Q3" i="39" s="1"/>
  <c r="O4" i="39" s="1"/>
  <c r="P4" i="39" s="1"/>
  <c r="Q4" i="39" s="1"/>
  <c r="O5" i="39" s="1"/>
  <c r="P5" i="39" s="1"/>
  <c r="Q5" i="39" s="1"/>
  <c r="O6" i="39" s="1"/>
  <c r="P6" i="39" s="1"/>
  <c r="Q6" i="39" s="1"/>
  <c r="O7" i="39" s="1"/>
  <c r="P7" i="39" s="1"/>
  <c r="Q7" i="39" s="1"/>
  <c r="O8" i="39" s="1"/>
  <c r="P8" i="39" s="1"/>
  <c r="Q8" i="39" s="1"/>
  <c r="O9" i="39" s="1"/>
  <c r="P9" i="39" s="1"/>
  <c r="Q9" i="39" s="1"/>
  <c r="O10" i="39" s="1"/>
  <c r="P10" i="39" s="1"/>
  <c r="Q10" i="39" s="1"/>
  <c r="O11" i="39" s="1"/>
  <c r="P11" i="39" s="1"/>
  <c r="Q11" i="39" s="1"/>
  <c r="C22" i="39"/>
  <c r="AC29" i="33"/>
  <c r="AC31" i="33" s="1"/>
  <c r="AC32" i="33" s="1"/>
  <c r="F24" i="1"/>
  <c r="H4" i="5" s="1"/>
  <c r="S4" i="5" s="1"/>
  <c r="U4" i="5"/>
  <c r="F24" i="3"/>
  <c r="I4" i="5" s="1"/>
  <c r="R3" i="3"/>
  <c r="R8" i="3" s="1"/>
  <c r="C23" i="39" l="1"/>
  <c r="D22" i="39" s="1"/>
  <c r="AC35" i="33"/>
  <c r="AC36" i="33" s="1"/>
  <c r="AC37" i="33" s="1"/>
  <c r="AC38" i="33" s="1"/>
  <c r="AC39" i="33"/>
  <c r="AC40" i="33" s="1"/>
  <c r="AC41" i="33" s="1"/>
  <c r="AC42" i="33" s="1"/>
  <c r="AC30" i="33"/>
  <c r="AD26" i="33" s="1"/>
  <c r="AD28" i="33" s="1"/>
  <c r="O3" i="3"/>
  <c r="T4" i="5"/>
  <c r="C14" i="39" l="1"/>
  <c r="C14" i="36"/>
  <c r="C14" i="37"/>
  <c r="C14" i="35"/>
  <c r="C14" i="38"/>
  <c r="D23" i="39"/>
  <c r="E22" i="39" s="1"/>
  <c r="C14" i="32"/>
  <c r="C15" i="34"/>
  <c r="AD29" i="33"/>
  <c r="AD31" i="33" s="1"/>
  <c r="AD32" i="33" s="1"/>
  <c r="C14" i="22"/>
  <c r="I24" i="3"/>
  <c r="O4" i="3"/>
  <c r="E2" i="14"/>
  <c r="I17" i="3"/>
  <c r="I17" i="1"/>
  <c r="D37" i="5"/>
  <c r="I37" i="5" s="1"/>
  <c r="F6" i="5"/>
  <c r="I6" i="5" s="1"/>
  <c r="J6" i="5" s="1"/>
  <c r="K6" i="5" s="1"/>
  <c r="I9" i="5"/>
  <c r="J9" i="5" s="1"/>
  <c r="K9" i="5" s="1"/>
  <c r="I10" i="5"/>
  <c r="J10" i="5" s="1"/>
  <c r="K10" i="5" s="1"/>
  <c r="H9" i="5"/>
  <c r="H10" i="5"/>
  <c r="B54" i="6"/>
  <c r="D12" i="5"/>
  <c r="K10" i="38" l="1"/>
  <c r="K4" i="38" s="1"/>
  <c r="H10" i="38"/>
  <c r="H4" i="38" s="1"/>
  <c r="I10" i="38"/>
  <c r="I4" i="38" s="1"/>
  <c r="J10" i="38"/>
  <c r="J4" i="38" s="1"/>
  <c r="I10" i="37"/>
  <c r="I4" i="37" s="1"/>
  <c r="J10" i="37"/>
  <c r="J4" i="37" s="1"/>
  <c r="H10" i="37"/>
  <c r="H4" i="37" s="1"/>
  <c r="K10" i="37"/>
  <c r="K4" i="37" s="1"/>
  <c r="K10" i="39"/>
  <c r="K4" i="39" s="1"/>
  <c r="I10" i="39"/>
  <c r="I4" i="39" s="1"/>
  <c r="H10" i="39"/>
  <c r="H4" i="39" s="1"/>
  <c r="J10" i="39"/>
  <c r="J4" i="39" s="1"/>
  <c r="E23" i="39"/>
  <c r="K10" i="35"/>
  <c r="K4" i="35" s="1"/>
  <c r="J10" i="35"/>
  <c r="J4" i="35" s="1"/>
  <c r="I10" i="35"/>
  <c r="I4" i="35" s="1"/>
  <c r="H10" i="35"/>
  <c r="H4" i="35" s="1"/>
  <c r="K10" i="36"/>
  <c r="K4" i="36" s="1"/>
  <c r="I10" i="36"/>
  <c r="I4" i="36" s="1"/>
  <c r="H10" i="36"/>
  <c r="H4" i="36" s="1"/>
  <c r="J10" i="36"/>
  <c r="J4" i="36" s="1"/>
  <c r="H10" i="22"/>
  <c r="H4" i="22" s="1"/>
  <c r="K10" i="22"/>
  <c r="K4" i="22" s="1"/>
  <c r="J10" i="22"/>
  <c r="J4" i="22" s="1"/>
  <c r="I10" i="22"/>
  <c r="I4" i="22" s="1"/>
  <c r="H11" i="34"/>
  <c r="H5" i="34" s="1"/>
  <c r="I11" i="34"/>
  <c r="I5" i="34" s="1"/>
  <c r="K11" i="34"/>
  <c r="K5" i="34" s="1"/>
  <c r="J11" i="34"/>
  <c r="J5" i="34" s="1"/>
  <c r="AD35" i="33"/>
  <c r="AD36" i="33" s="1"/>
  <c r="AD37" i="33" s="1"/>
  <c r="AD38" i="33" s="1"/>
  <c r="AD39" i="33"/>
  <c r="AD40" i="33" s="1"/>
  <c r="AD41" i="33" s="1"/>
  <c r="AD42" i="33" s="1"/>
  <c r="AD30" i="33"/>
  <c r="AE26" i="33" s="1"/>
  <c r="AE28" i="33" s="1"/>
  <c r="D1" i="15"/>
  <c r="V2" i="15" s="1"/>
  <c r="K37" i="5"/>
  <c r="V10" i="5" s="1"/>
  <c r="J37" i="5"/>
  <c r="U10" i="5" s="1"/>
  <c r="H37" i="5"/>
  <c r="S10" i="5" s="1"/>
  <c r="F7" i="5"/>
  <c r="H6" i="5"/>
  <c r="F8" i="5"/>
  <c r="G12" i="3"/>
  <c r="C20" i="7"/>
  <c r="E5" i="7"/>
  <c r="G10" i="39" l="1"/>
  <c r="G4" i="39" s="1"/>
  <c r="F22" i="39"/>
  <c r="AE29" i="33"/>
  <c r="AE31" i="33" s="1"/>
  <c r="AE32" i="33" s="1"/>
  <c r="G24" i="3"/>
  <c r="G26" i="3" s="1"/>
  <c r="T10" i="5"/>
  <c r="E20" i="7"/>
  <c r="E23" i="7"/>
  <c r="E8" i="7"/>
  <c r="E17" i="7"/>
  <c r="E11" i="7"/>
  <c r="E26" i="7"/>
  <c r="D11" i="7"/>
  <c r="H8" i="5"/>
  <c r="I8" i="5"/>
  <c r="J8" i="5" s="1"/>
  <c r="K8" i="5" s="1"/>
  <c r="I7" i="5"/>
  <c r="J7" i="5" s="1"/>
  <c r="K7" i="5" s="1"/>
  <c r="K19" i="5" s="1"/>
  <c r="V7" i="5" s="1"/>
  <c r="F5" i="5"/>
  <c r="H7" i="5"/>
  <c r="C23" i="7"/>
  <c r="C26" i="7"/>
  <c r="C11" i="7"/>
  <c r="C8" i="7"/>
  <c r="C17" i="7"/>
  <c r="F23" i="39" l="1"/>
  <c r="G22" i="39" s="1"/>
  <c r="AF33" i="39"/>
  <c r="I33" i="39"/>
  <c r="V33" i="39"/>
  <c r="S33" i="39"/>
  <c r="Q33" i="39"/>
  <c r="E33" i="39"/>
  <c r="H33" i="39"/>
  <c r="D33" i="39"/>
  <c r="AD33" i="39"/>
  <c r="U33" i="39"/>
  <c r="L33" i="39"/>
  <c r="AC33" i="39"/>
  <c r="T33" i="39"/>
  <c r="J33" i="39"/>
  <c r="W33" i="39"/>
  <c r="N33" i="39"/>
  <c r="C33" i="39"/>
  <c r="G33" i="39"/>
  <c r="AB33" i="39"/>
  <c r="K33" i="39"/>
  <c r="R33" i="39"/>
  <c r="P33" i="39"/>
  <c r="AE33" i="39"/>
  <c r="Y33" i="39"/>
  <c r="M33" i="39"/>
  <c r="O33" i="39"/>
  <c r="AA33" i="39"/>
  <c r="X33" i="39"/>
  <c r="Z33" i="39"/>
  <c r="F33" i="39"/>
  <c r="AE39" i="33"/>
  <c r="AE40" i="33" s="1"/>
  <c r="AE41" i="33" s="1"/>
  <c r="AE42" i="33" s="1"/>
  <c r="AE35" i="33"/>
  <c r="AE36" i="33" s="1"/>
  <c r="AE37" i="33" s="1"/>
  <c r="AE38" i="33" s="1"/>
  <c r="AE30" i="33"/>
  <c r="AF26" i="33" s="1"/>
  <c r="AF28" i="33" s="1"/>
  <c r="I6" i="3"/>
  <c r="E29" i="7"/>
  <c r="E14" i="7"/>
  <c r="D23" i="7"/>
  <c r="D26" i="7"/>
  <c r="D8" i="7"/>
  <c r="D14" i="7" s="1"/>
  <c r="D20" i="7"/>
  <c r="D17" i="7"/>
  <c r="I5" i="5"/>
  <c r="T5" i="5" s="1"/>
  <c r="H5" i="5"/>
  <c r="C14" i="7"/>
  <c r="C29" i="7"/>
  <c r="G23" i="39" l="1"/>
  <c r="H22" i="39" s="1"/>
  <c r="G10" i="37"/>
  <c r="G4" i="37" s="1"/>
  <c r="G10" i="35"/>
  <c r="G4" i="35" s="1"/>
  <c r="G10" i="38"/>
  <c r="G4" i="38" s="1"/>
  <c r="G10" i="36"/>
  <c r="G4" i="36" s="1"/>
  <c r="G10" i="32"/>
  <c r="G4" i="32" s="1"/>
  <c r="G11" i="34"/>
  <c r="G5" i="34" s="1"/>
  <c r="AF29" i="33"/>
  <c r="AF31" i="33" s="1"/>
  <c r="AF32" i="33" s="1"/>
  <c r="G10" i="22"/>
  <c r="G4" i="22" s="1"/>
  <c r="F9" i="4"/>
  <c r="S5" i="5"/>
  <c r="N21" i="3"/>
  <c r="O21" i="3"/>
  <c r="P21" i="3"/>
  <c r="I21" i="3"/>
  <c r="E6" i="14"/>
  <c r="J5" i="5"/>
  <c r="U5" i="5" s="1"/>
  <c r="C32" i="7"/>
  <c r="H24" i="5" s="1"/>
  <c r="E32" i="7"/>
  <c r="D29" i="7"/>
  <c r="D32" i="7" s="1"/>
  <c r="Z33" i="36" l="1"/>
  <c r="W33" i="36"/>
  <c r="U33" i="36"/>
  <c r="S33" i="36"/>
  <c r="J33" i="36"/>
  <c r="L33" i="36"/>
  <c r="H33" i="36"/>
  <c r="AC33" i="36"/>
  <c r="Y33" i="36"/>
  <c r="O33" i="36"/>
  <c r="M33" i="36"/>
  <c r="K33" i="36"/>
  <c r="X33" i="36"/>
  <c r="T33" i="36"/>
  <c r="P33" i="36"/>
  <c r="N33" i="36"/>
  <c r="D33" i="36"/>
  <c r="Q33" i="36"/>
  <c r="G33" i="36"/>
  <c r="E33" i="36"/>
  <c r="C33" i="36"/>
  <c r="AF33" i="36"/>
  <c r="AD33" i="36"/>
  <c r="AB33" i="36"/>
  <c r="V33" i="36"/>
  <c r="I33" i="36"/>
  <c r="F33" i="36"/>
  <c r="AE33" i="36"/>
  <c r="AA33" i="36"/>
  <c r="R33" i="36"/>
  <c r="M33" i="35"/>
  <c r="J33" i="35"/>
  <c r="N33" i="35"/>
  <c r="O33" i="35"/>
  <c r="I33" i="35"/>
  <c r="AD33" i="35"/>
  <c r="E33" i="35"/>
  <c r="T33" i="35"/>
  <c r="V33" i="35"/>
  <c r="AF33" i="35"/>
  <c r="AA33" i="35"/>
  <c r="D33" i="35"/>
  <c r="AB33" i="35"/>
  <c r="C33" i="35"/>
  <c r="Z33" i="35"/>
  <c r="U33" i="35"/>
  <c r="X33" i="35"/>
  <c r="S33" i="35"/>
  <c r="Q33" i="35"/>
  <c r="L33" i="35"/>
  <c r="H33" i="35"/>
  <c r="AC33" i="35"/>
  <c r="W33" i="35"/>
  <c r="R33" i="35"/>
  <c r="P33" i="35"/>
  <c r="K33" i="35"/>
  <c r="AE33" i="35"/>
  <c r="Y33" i="35"/>
  <c r="F33" i="35"/>
  <c r="G33" i="35"/>
  <c r="Y33" i="38"/>
  <c r="G33" i="38"/>
  <c r="E33" i="38"/>
  <c r="C33" i="38"/>
  <c r="F33" i="38"/>
  <c r="U33" i="38"/>
  <c r="AF33" i="38"/>
  <c r="AD33" i="38"/>
  <c r="AB33" i="38"/>
  <c r="Z33" i="38"/>
  <c r="P33" i="38"/>
  <c r="L33" i="38"/>
  <c r="AE33" i="38"/>
  <c r="AA33" i="38"/>
  <c r="W33" i="38"/>
  <c r="K33" i="38"/>
  <c r="X33" i="38"/>
  <c r="V33" i="38"/>
  <c r="T33" i="38"/>
  <c r="R33" i="38"/>
  <c r="N33" i="38"/>
  <c r="J33" i="38"/>
  <c r="H33" i="38"/>
  <c r="D33" i="38"/>
  <c r="I33" i="38"/>
  <c r="Q33" i="38"/>
  <c r="AC33" i="38"/>
  <c r="S33" i="38"/>
  <c r="O33" i="38"/>
  <c r="M33" i="38"/>
  <c r="AA33" i="37"/>
  <c r="W33" i="37"/>
  <c r="U33" i="37"/>
  <c r="R33" i="37"/>
  <c r="AB33" i="37"/>
  <c r="Q33" i="37"/>
  <c r="N33" i="37"/>
  <c r="AE33" i="37"/>
  <c r="S33" i="37"/>
  <c r="O33" i="37"/>
  <c r="M33" i="37"/>
  <c r="J33" i="37"/>
  <c r="P33" i="37"/>
  <c r="L33" i="37"/>
  <c r="Y33" i="37"/>
  <c r="G33" i="37"/>
  <c r="E33" i="37"/>
  <c r="C33" i="37"/>
  <c r="AF33" i="37"/>
  <c r="AD33" i="37"/>
  <c r="I33" i="37"/>
  <c r="X33" i="37"/>
  <c r="V33" i="37"/>
  <c r="T33" i="37"/>
  <c r="H33" i="37"/>
  <c r="F33" i="37"/>
  <c r="D33" i="37"/>
  <c r="AC33" i="37"/>
  <c r="Z33" i="37"/>
  <c r="K33" i="37"/>
  <c r="I14" i="5"/>
  <c r="I12" i="5" s="1"/>
  <c r="H23" i="39"/>
  <c r="I22" i="39" s="1"/>
  <c r="AI33" i="22"/>
  <c r="AJ33" i="22"/>
  <c r="AK33" i="22"/>
  <c r="AL33" i="22"/>
  <c r="AO33" i="22"/>
  <c r="AP33" i="22"/>
  <c r="AM33" i="22"/>
  <c r="AN33" i="22"/>
  <c r="AG33" i="22"/>
  <c r="AH33" i="22"/>
  <c r="Y34" i="34"/>
  <c r="AF34" i="34"/>
  <c r="AD34" i="34"/>
  <c r="AB34" i="34"/>
  <c r="Z34" i="34"/>
  <c r="X34" i="34"/>
  <c r="V34" i="34"/>
  <c r="T34" i="34"/>
  <c r="R34" i="34"/>
  <c r="P34" i="34"/>
  <c r="N34" i="34"/>
  <c r="L34" i="34"/>
  <c r="J34" i="34"/>
  <c r="H34" i="34"/>
  <c r="F34" i="34"/>
  <c r="D34" i="34"/>
  <c r="I34" i="34"/>
  <c r="E34" i="34"/>
  <c r="AE34" i="34"/>
  <c r="AC34" i="34"/>
  <c r="AA34" i="34"/>
  <c r="G34" i="34"/>
  <c r="W34" i="34"/>
  <c r="U34" i="34"/>
  <c r="S34" i="34"/>
  <c r="O34" i="34"/>
  <c r="M34" i="34"/>
  <c r="K34" i="34"/>
  <c r="Q34" i="34"/>
  <c r="C34" i="34"/>
  <c r="C33" i="32"/>
  <c r="Q33" i="32"/>
  <c r="O33" i="32"/>
  <c r="M33" i="32"/>
  <c r="J33" i="32"/>
  <c r="G33" i="32"/>
  <c r="E33" i="32"/>
  <c r="S33" i="32"/>
  <c r="AF33" i="32"/>
  <c r="AD33" i="32"/>
  <c r="AB33" i="32"/>
  <c r="W33" i="32"/>
  <c r="X33" i="32"/>
  <c r="V33" i="32"/>
  <c r="T33" i="32"/>
  <c r="I33" i="32"/>
  <c r="Y33" i="32"/>
  <c r="P33" i="32"/>
  <c r="N33" i="32"/>
  <c r="L33" i="32"/>
  <c r="R33" i="32"/>
  <c r="H33" i="32"/>
  <c r="F33" i="32"/>
  <c r="D33" i="32"/>
  <c r="K33" i="32"/>
  <c r="AA33" i="32"/>
  <c r="AE33" i="32"/>
  <c r="AC33" i="32"/>
  <c r="Z33" i="32"/>
  <c r="U33" i="32"/>
  <c r="AF39" i="33"/>
  <c r="AF40" i="33" s="1"/>
  <c r="AF41" i="33" s="1"/>
  <c r="AF42" i="33" s="1"/>
  <c r="G12" i="33" s="1"/>
  <c r="AF35" i="33"/>
  <c r="AF36" i="33" s="1"/>
  <c r="AF37" i="33" s="1"/>
  <c r="AF30" i="33"/>
  <c r="D33" i="22"/>
  <c r="E33" i="22"/>
  <c r="C33" i="22"/>
  <c r="F33" i="22"/>
  <c r="I33" i="22"/>
  <c r="R33" i="22"/>
  <c r="AE33" i="22"/>
  <c r="O33" i="22"/>
  <c r="W33" i="22"/>
  <c r="P33" i="22"/>
  <c r="N33" i="22"/>
  <c r="Q33" i="22"/>
  <c r="Z33" i="22"/>
  <c r="H33" i="22"/>
  <c r="X33" i="22"/>
  <c r="V33" i="22"/>
  <c r="Y33" i="22"/>
  <c r="AF33" i="22"/>
  <c r="AB33" i="22"/>
  <c r="AC33" i="22"/>
  <c r="AD33" i="22"/>
  <c r="K33" i="22"/>
  <c r="L33" i="22"/>
  <c r="U33" i="22"/>
  <c r="J33" i="22"/>
  <c r="G33" i="22"/>
  <c r="S33" i="22"/>
  <c r="AA33" i="22"/>
  <c r="T33" i="22"/>
  <c r="M33" i="22"/>
  <c r="H14" i="5"/>
  <c r="H12" i="5" s="1"/>
  <c r="I26" i="5"/>
  <c r="T9" i="5" s="1"/>
  <c r="I24" i="5"/>
  <c r="T8" i="5" s="1"/>
  <c r="K5" i="5"/>
  <c r="V5" i="5" s="1"/>
  <c r="S8" i="5"/>
  <c r="C38" i="7"/>
  <c r="H26" i="5"/>
  <c r="S9" i="5" s="1"/>
  <c r="J14" i="5"/>
  <c r="J12" i="5" s="1"/>
  <c r="J16" i="5" s="1"/>
  <c r="J26" i="5"/>
  <c r="U9" i="5" s="1"/>
  <c r="J24" i="5"/>
  <c r="U8" i="5" s="1"/>
  <c r="E41" i="7"/>
  <c r="E35" i="7"/>
  <c r="E38" i="7"/>
  <c r="C41" i="7"/>
  <c r="C35" i="7"/>
  <c r="D35" i="7"/>
  <c r="D38" i="7"/>
  <c r="D41" i="7"/>
  <c r="D44" i="7" l="1"/>
  <c r="C1" i="22" s="1"/>
  <c r="C2" i="22" s="1"/>
  <c r="E44" i="7"/>
  <c r="I23" i="39"/>
  <c r="J22" i="39" s="1"/>
  <c r="AF38" i="33"/>
  <c r="C44" i="7"/>
  <c r="D4" i="14" s="1"/>
  <c r="I16" i="5"/>
  <c r="I19" i="5" s="1"/>
  <c r="T7" i="5" s="1"/>
  <c r="K30" i="5"/>
  <c r="H17" i="5"/>
  <c r="I17" i="5"/>
  <c r="H18" i="5"/>
  <c r="I18" i="5"/>
  <c r="J18" i="5"/>
  <c r="J17" i="5"/>
  <c r="H16" i="5"/>
  <c r="H19" i="5" s="1"/>
  <c r="J19" i="5"/>
  <c r="U7" i="5" s="1"/>
  <c r="C1" i="37" l="1"/>
  <c r="E4" i="37" s="1"/>
  <c r="C1" i="38"/>
  <c r="C2" i="38" s="1"/>
  <c r="C8" i="38" s="1"/>
  <c r="C1" i="35"/>
  <c r="C2" i="35" s="1"/>
  <c r="C8" i="35" s="1"/>
  <c r="C1" i="36"/>
  <c r="C2" i="36" s="1"/>
  <c r="C8" i="36" s="1"/>
  <c r="J23" i="39"/>
  <c r="K22" i="39" s="1"/>
  <c r="G5" i="14"/>
  <c r="C10" i="39"/>
  <c r="C1" i="32"/>
  <c r="C2" i="34"/>
  <c r="I14" i="3"/>
  <c r="F8" i="4" s="1"/>
  <c r="S7" i="5"/>
  <c r="I14" i="2"/>
  <c r="G8" i="4" s="1"/>
  <c r="F4" i="14"/>
  <c r="E4" i="14"/>
  <c r="I11" i="5"/>
  <c r="I14" i="1"/>
  <c r="K38" i="5"/>
  <c r="K39" i="5" s="1"/>
  <c r="J11" i="5"/>
  <c r="H11" i="5"/>
  <c r="H30" i="5" s="1"/>
  <c r="H38" i="5" s="1"/>
  <c r="H8" i="4"/>
  <c r="E3" i="36" l="1"/>
  <c r="C22" i="36" s="1"/>
  <c r="C23" i="36" s="1"/>
  <c r="D22" i="36" s="1"/>
  <c r="D23" i="36" s="1"/>
  <c r="E22" i="36" s="1"/>
  <c r="E3" i="35"/>
  <c r="O2" i="35" s="1"/>
  <c r="P2" i="35" s="1"/>
  <c r="Q2" i="35" s="1"/>
  <c r="O3" i="35" s="1"/>
  <c r="P3" i="35" s="1"/>
  <c r="Q3" i="35" s="1"/>
  <c r="O4" i="35" s="1"/>
  <c r="P4" i="35" s="1"/>
  <c r="Q4" i="35" s="1"/>
  <c r="O5" i="35" s="1"/>
  <c r="P5" i="35" s="1"/>
  <c r="Q5" i="35" s="1"/>
  <c r="O6" i="35" s="1"/>
  <c r="P6" i="35" s="1"/>
  <c r="Q6" i="35" s="1"/>
  <c r="O7" i="35" s="1"/>
  <c r="P7" i="35" s="1"/>
  <c r="Q7" i="35" s="1"/>
  <c r="O8" i="35" s="1"/>
  <c r="P8" i="35" s="1"/>
  <c r="Q8" i="35" s="1"/>
  <c r="O9" i="35" s="1"/>
  <c r="P9" i="35" s="1"/>
  <c r="Q9" i="35" s="1"/>
  <c r="O10" i="35" s="1"/>
  <c r="P10" i="35" s="1"/>
  <c r="Q10" i="35" s="1"/>
  <c r="O11" i="35" s="1"/>
  <c r="P11" i="35" s="1"/>
  <c r="Q11" i="35" s="1"/>
  <c r="E4" i="35"/>
  <c r="E4" i="36"/>
  <c r="E3" i="38"/>
  <c r="C22" i="38" s="1"/>
  <c r="E4" i="38"/>
  <c r="C2" i="37"/>
  <c r="C8" i="37" s="1"/>
  <c r="C21" i="37" s="1"/>
  <c r="E3" i="37"/>
  <c r="O2" i="37" s="1"/>
  <c r="P2" i="37" s="1"/>
  <c r="Q2" i="37" s="1"/>
  <c r="O3" i="37" s="1"/>
  <c r="P3" i="37" s="1"/>
  <c r="Q3" i="37" s="1"/>
  <c r="O4" i="37" s="1"/>
  <c r="P4" i="37" s="1"/>
  <c r="Q4" i="37" s="1"/>
  <c r="O5" i="37" s="1"/>
  <c r="P5" i="37" s="1"/>
  <c r="Q5" i="37" s="1"/>
  <c r="O6" i="37" s="1"/>
  <c r="P6" i="37" s="1"/>
  <c r="Q6" i="37" s="1"/>
  <c r="O7" i="37" s="1"/>
  <c r="P7" i="37" s="1"/>
  <c r="Q7" i="37" s="1"/>
  <c r="O8" i="37" s="1"/>
  <c r="P8" i="37" s="1"/>
  <c r="Q8" i="37" s="1"/>
  <c r="O9" i="37" s="1"/>
  <c r="P9" i="37" s="1"/>
  <c r="Q9" i="37" s="1"/>
  <c r="O10" i="37" s="1"/>
  <c r="P10" i="37" s="1"/>
  <c r="Q10" i="37" s="1"/>
  <c r="O11" i="37" s="1"/>
  <c r="P11" i="37" s="1"/>
  <c r="Q11" i="37" s="1"/>
  <c r="C21" i="38"/>
  <c r="F21" i="38"/>
  <c r="D21" i="38"/>
  <c r="I21" i="38"/>
  <c r="H21" i="38"/>
  <c r="E21" i="38"/>
  <c r="G21" i="38"/>
  <c r="H21" i="36"/>
  <c r="G21" i="36"/>
  <c r="C21" i="36"/>
  <c r="F21" i="36"/>
  <c r="I21" i="36"/>
  <c r="E21" i="36"/>
  <c r="D21" i="36"/>
  <c r="K23" i="39"/>
  <c r="L22" i="39" s="1"/>
  <c r="L23" i="39" s="1"/>
  <c r="AD19" i="39"/>
  <c r="AB19" i="39"/>
  <c r="Z19" i="39"/>
  <c r="X19" i="39"/>
  <c r="K19" i="39"/>
  <c r="K20" i="39" s="1"/>
  <c r="C19" i="39"/>
  <c r="V19" i="39"/>
  <c r="T19" i="39"/>
  <c r="R19" i="39"/>
  <c r="H19" i="39"/>
  <c r="N19" i="39"/>
  <c r="L19" i="39"/>
  <c r="L20" i="39" s="1"/>
  <c r="J19" i="39"/>
  <c r="J20" i="39" s="1"/>
  <c r="W19" i="39"/>
  <c r="O19" i="39"/>
  <c r="F19" i="39"/>
  <c r="D19" i="39"/>
  <c r="Y19" i="39"/>
  <c r="G19" i="39"/>
  <c r="U19" i="39"/>
  <c r="E19" i="39"/>
  <c r="AC19" i="39"/>
  <c r="AA19" i="39"/>
  <c r="Q19" i="39"/>
  <c r="AF19" i="39"/>
  <c r="S19" i="39"/>
  <c r="I19" i="39"/>
  <c r="AE19" i="39"/>
  <c r="M19" i="39"/>
  <c r="P19" i="39"/>
  <c r="G21" i="35"/>
  <c r="E21" i="35"/>
  <c r="D21" i="35"/>
  <c r="F21" i="35"/>
  <c r="C21" i="35"/>
  <c r="I21" i="35"/>
  <c r="H21" i="35"/>
  <c r="E5" i="34"/>
  <c r="C3" i="34"/>
  <c r="C9" i="34" s="1"/>
  <c r="E4" i="34"/>
  <c r="E3" i="32"/>
  <c r="E4" i="32"/>
  <c r="C2" i="32"/>
  <c r="C8" i="32" s="1"/>
  <c r="E3" i="22"/>
  <c r="C22" i="22" s="1"/>
  <c r="D5" i="14"/>
  <c r="E4" i="22"/>
  <c r="C8" i="22"/>
  <c r="T6" i="5"/>
  <c r="I30" i="5"/>
  <c r="C10" i="22" s="1"/>
  <c r="S6" i="5"/>
  <c r="J30" i="5"/>
  <c r="U6" i="5"/>
  <c r="I20" i="12"/>
  <c r="E8" i="4"/>
  <c r="O2" i="36" l="1"/>
  <c r="P2" i="36" s="1"/>
  <c r="Q2" i="36" s="1"/>
  <c r="O3" i="36" s="1"/>
  <c r="P3" i="36" s="1"/>
  <c r="Q3" i="36" s="1"/>
  <c r="O4" i="36" s="1"/>
  <c r="P4" i="36" s="1"/>
  <c r="Q4" i="36" s="1"/>
  <c r="O5" i="36" s="1"/>
  <c r="P5" i="36" s="1"/>
  <c r="Q5" i="36" s="1"/>
  <c r="O6" i="36" s="1"/>
  <c r="P6" i="36" s="1"/>
  <c r="Q6" i="36" s="1"/>
  <c r="O7" i="36" s="1"/>
  <c r="P7" i="36" s="1"/>
  <c r="Q7" i="36" s="1"/>
  <c r="O8" i="36" s="1"/>
  <c r="P8" i="36" s="1"/>
  <c r="Q8" i="36" s="1"/>
  <c r="O9" i="36" s="1"/>
  <c r="P9" i="36" s="1"/>
  <c r="Q9" i="36" s="1"/>
  <c r="O10" i="36" s="1"/>
  <c r="P10" i="36" s="1"/>
  <c r="Q10" i="36" s="1"/>
  <c r="O11" i="36" s="1"/>
  <c r="P11" i="36" s="1"/>
  <c r="Q11" i="36" s="1"/>
  <c r="C22" i="35"/>
  <c r="C23" i="35" s="1"/>
  <c r="D22" i="35" s="1"/>
  <c r="F21" i="37"/>
  <c r="E21" i="37"/>
  <c r="G21" i="37"/>
  <c r="D21" i="37"/>
  <c r="I21" i="37"/>
  <c r="H21" i="37"/>
  <c r="C22" i="37"/>
  <c r="C23" i="37" s="1"/>
  <c r="D22" i="37" s="1"/>
  <c r="L24" i="39"/>
  <c r="L27" i="39" s="1"/>
  <c r="O2" i="38"/>
  <c r="P2" i="38" s="1"/>
  <c r="Q2" i="38" s="1"/>
  <c r="O3" i="38" s="1"/>
  <c r="P3" i="38" s="1"/>
  <c r="Q3" i="38" s="1"/>
  <c r="O4" i="38" s="1"/>
  <c r="P4" i="38" s="1"/>
  <c r="Q4" i="38" s="1"/>
  <c r="O5" i="38" s="1"/>
  <c r="P5" i="38" s="1"/>
  <c r="Q5" i="38" s="1"/>
  <c r="O6" i="38" s="1"/>
  <c r="P6" i="38" s="1"/>
  <c r="Q6" i="38" s="1"/>
  <c r="O7" i="38" s="1"/>
  <c r="P7" i="38" s="1"/>
  <c r="Q7" i="38" s="1"/>
  <c r="O8" i="38" s="1"/>
  <c r="P8" i="38" s="1"/>
  <c r="Q8" i="38" s="1"/>
  <c r="O9" i="38" s="1"/>
  <c r="P9" i="38" s="1"/>
  <c r="Q9" i="38" s="1"/>
  <c r="O10" i="38" s="1"/>
  <c r="P10" i="38" s="1"/>
  <c r="Q10" i="38" s="1"/>
  <c r="O11" i="38" s="1"/>
  <c r="P11" i="38" s="1"/>
  <c r="Q11" i="38" s="1"/>
  <c r="T24" i="39"/>
  <c r="T20" i="39"/>
  <c r="Q20" i="39"/>
  <c r="Q24" i="39"/>
  <c r="J24" i="39"/>
  <c r="J27" i="39" s="1"/>
  <c r="AA24" i="39"/>
  <c r="AA27" i="39" s="1"/>
  <c r="AA20" i="39"/>
  <c r="O24" i="39"/>
  <c r="O20" i="39"/>
  <c r="V20" i="39"/>
  <c r="V24" i="39"/>
  <c r="AF20" i="39"/>
  <c r="AF24" i="39"/>
  <c r="AF27" i="39" s="1"/>
  <c r="F20" i="39"/>
  <c r="F24" i="39"/>
  <c r="F27" i="39" s="1"/>
  <c r="P24" i="39"/>
  <c r="P20" i="39"/>
  <c r="AC20" i="39"/>
  <c r="AC24" i="39"/>
  <c r="W24" i="39"/>
  <c r="W20" i="39"/>
  <c r="C20" i="39"/>
  <c r="C24" i="39"/>
  <c r="D20" i="39"/>
  <c r="D24" i="39"/>
  <c r="K24" i="39"/>
  <c r="K27" i="39" s="1"/>
  <c r="R24" i="39"/>
  <c r="R20" i="39"/>
  <c r="C11" i="34"/>
  <c r="C10" i="36"/>
  <c r="C10" i="37"/>
  <c r="C10" i="35"/>
  <c r="C10" i="38"/>
  <c r="AE24" i="39"/>
  <c r="AE20" i="39"/>
  <c r="U24" i="39"/>
  <c r="U20" i="39"/>
  <c r="X24" i="39"/>
  <c r="X20" i="39"/>
  <c r="C23" i="38"/>
  <c r="D22" i="38" s="1"/>
  <c r="AD20" i="39"/>
  <c r="AD24" i="39"/>
  <c r="AD27" i="39" s="1"/>
  <c r="M24" i="39"/>
  <c r="M27" i="39" s="1"/>
  <c r="M20" i="39"/>
  <c r="E20" i="39"/>
  <c r="E24" i="39"/>
  <c r="I20" i="39"/>
  <c r="I24" i="39"/>
  <c r="I27" i="39" s="1"/>
  <c r="G20" i="39"/>
  <c r="G24" i="39"/>
  <c r="G27" i="39" s="1"/>
  <c r="N20" i="39"/>
  <c r="N24" i="39"/>
  <c r="Z24" i="39"/>
  <c r="Z20" i="39"/>
  <c r="E23" i="36"/>
  <c r="F22" i="36" s="1"/>
  <c r="S24" i="39"/>
  <c r="S27" i="39" s="1"/>
  <c r="S20" i="39"/>
  <c r="Y24" i="39"/>
  <c r="Y27" i="39" s="1"/>
  <c r="Y20" i="39"/>
  <c r="H20" i="39"/>
  <c r="H24" i="39"/>
  <c r="H27" i="39" s="1"/>
  <c r="AB24" i="39"/>
  <c r="AB27" i="39" s="1"/>
  <c r="AB20" i="39"/>
  <c r="I22" i="34"/>
  <c r="H22" i="34"/>
  <c r="G22" i="34"/>
  <c r="F22" i="34"/>
  <c r="E22" i="34"/>
  <c r="D22" i="34"/>
  <c r="C22" i="34"/>
  <c r="I21" i="32"/>
  <c r="H21" i="32"/>
  <c r="G21" i="32"/>
  <c r="F21" i="32"/>
  <c r="D21" i="32"/>
  <c r="E21" i="32"/>
  <c r="C21" i="32"/>
  <c r="C10" i="32"/>
  <c r="C22" i="32"/>
  <c r="N2" i="32"/>
  <c r="C23" i="34"/>
  <c r="C24" i="34" s="1"/>
  <c r="D23" i="34" s="1"/>
  <c r="P3" i="34"/>
  <c r="Q3" i="34" s="1"/>
  <c r="R3" i="34" s="1"/>
  <c r="P4" i="34" s="1"/>
  <c r="Q4" i="34" s="1"/>
  <c r="R4" i="34" s="1"/>
  <c r="P5" i="34" s="1"/>
  <c r="Q5" i="34" s="1"/>
  <c r="R5" i="34" s="1"/>
  <c r="P6" i="34" s="1"/>
  <c r="Q6" i="34" s="1"/>
  <c r="R6" i="34" s="1"/>
  <c r="P7" i="34" s="1"/>
  <c r="Q7" i="34" s="1"/>
  <c r="R7" i="34" s="1"/>
  <c r="P8" i="34" s="1"/>
  <c r="Q8" i="34" s="1"/>
  <c r="R8" i="34" s="1"/>
  <c r="P9" i="34" s="1"/>
  <c r="Q9" i="34" s="1"/>
  <c r="R9" i="34" s="1"/>
  <c r="P10" i="34" s="1"/>
  <c r="Q10" i="34" s="1"/>
  <c r="R10" i="34" s="1"/>
  <c r="P11" i="34" s="1"/>
  <c r="Q11" i="34" s="1"/>
  <c r="R11" i="34" s="1"/>
  <c r="P12" i="34" s="1"/>
  <c r="Q12" i="34" s="1"/>
  <c r="R12" i="34" s="1"/>
  <c r="C23" i="22"/>
  <c r="D22" i="22" s="1"/>
  <c r="N2" i="22"/>
  <c r="O2" i="22" s="1"/>
  <c r="P2" i="22" s="1"/>
  <c r="N3" i="22" s="1"/>
  <c r="O3" i="22" s="1"/>
  <c r="P3" i="22" s="1"/>
  <c r="N4" i="22" s="1"/>
  <c r="I38" i="5"/>
  <c r="I39" i="5" s="1"/>
  <c r="I20" i="3" s="1"/>
  <c r="C21" i="22"/>
  <c r="D21" i="22"/>
  <c r="E21" i="22"/>
  <c r="F21" i="22"/>
  <c r="G21" i="22"/>
  <c r="I21" i="22"/>
  <c r="H21" i="22"/>
  <c r="E5" i="14"/>
  <c r="H39" i="5"/>
  <c r="I20" i="1" s="1"/>
  <c r="F5" i="14"/>
  <c r="J38" i="5"/>
  <c r="J39" i="5" s="1"/>
  <c r="I20" i="2" s="1"/>
  <c r="I21" i="12"/>
  <c r="I22" i="12" s="1"/>
  <c r="H9" i="4"/>
  <c r="O36" i="12"/>
  <c r="O38" i="12" s="1"/>
  <c r="N36" i="12"/>
  <c r="P36" i="12"/>
  <c r="D23" i="35" l="1"/>
  <c r="E22" i="35" s="1"/>
  <c r="D23" i="37"/>
  <c r="E22" i="37" s="1"/>
  <c r="AE27" i="39"/>
  <c r="R27" i="39"/>
  <c r="AC27" i="39"/>
  <c r="W27" i="39"/>
  <c r="F23" i="36"/>
  <c r="G22" i="36" s="1"/>
  <c r="D23" i="38"/>
  <c r="E22" i="38" s="1"/>
  <c r="AG19" i="22"/>
  <c r="AN19" i="22"/>
  <c r="AP19" i="22"/>
  <c r="AJ19" i="22"/>
  <c r="AI19" i="22"/>
  <c r="AK19" i="22"/>
  <c r="AM19" i="22"/>
  <c r="AH19" i="22"/>
  <c r="AL19" i="22"/>
  <c r="C19" i="22"/>
  <c r="C24" i="22" s="1"/>
  <c r="AO19" i="22"/>
  <c r="Q27" i="39"/>
  <c r="E19" i="38"/>
  <c r="E20" i="38" s="1"/>
  <c r="C19" i="38"/>
  <c r="C20" i="38" s="1"/>
  <c r="X19" i="38"/>
  <c r="Q19" i="38"/>
  <c r="I19" i="38"/>
  <c r="I20" i="38" s="1"/>
  <c r="K19" i="38"/>
  <c r="K20" i="38" s="1"/>
  <c r="AD19" i="38"/>
  <c r="AB19" i="38"/>
  <c r="Z19" i="38"/>
  <c r="P19" i="38"/>
  <c r="V19" i="38"/>
  <c r="T19" i="38"/>
  <c r="R19" i="38"/>
  <c r="H19" i="38"/>
  <c r="H20" i="38" s="1"/>
  <c r="AA19" i="38"/>
  <c r="S19" i="38"/>
  <c r="M19" i="38"/>
  <c r="AF19" i="38"/>
  <c r="N19" i="38"/>
  <c r="L19" i="38"/>
  <c r="L20" i="38" s="1"/>
  <c r="J19" i="38"/>
  <c r="J20" i="38" s="1"/>
  <c r="O19" i="38"/>
  <c r="F19" i="38"/>
  <c r="F20" i="38" s="1"/>
  <c r="D19" i="38"/>
  <c r="D20" i="38" s="1"/>
  <c r="Y19" i="38"/>
  <c r="G19" i="38"/>
  <c r="G20" i="38" s="1"/>
  <c r="AC19" i="38"/>
  <c r="AE19" i="38"/>
  <c r="U19" i="38"/>
  <c r="W19" i="38"/>
  <c r="D27" i="39"/>
  <c r="D29" i="39"/>
  <c r="D31" i="39" s="1"/>
  <c r="D32" i="39" s="1"/>
  <c r="V27" i="39"/>
  <c r="E27" i="39"/>
  <c r="E29" i="39"/>
  <c r="E31" i="39" s="1"/>
  <c r="E32" i="39" s="1"/>
  <c r="N19" i="35"/>
  <c r="I19" i="35"/>
  <c r="I20" i="35" s="1"/>
  <c r="G19" i="35"/>
  <c r="G20" i="35" s="1"/>
  <c r="AE19" i="35"/>
  <c r="D19" i="35"/>
  <c r="D20" i="35" s="1"/>
  <c r="AD19" i="35"/>
  <c r="Q19" i="35"/>
  <c r="F19" i="35"/>
  <c r="F20" i="35" s="1"/>
  <c r="AF19" i="35"/>
  <c r="L19" i="35"/>
  <c r="L20" i="35" s="1"/>
  <c r="O19" i="35"/>
  <c r="Z19" i="35"/>
  <c r="AA19" i="35"/>
  <c r="X19" i="35"/>
  <c r="U19" i="35"/>
  <c r="AC19" i="35"/>
  <c r="C19" i="35"/>
  <c r="C20" i="35" s="1"/>
  <c r="W19" i="35"/>
  <c r="S19" i="35"/>
  <c r="P19" i="35"/>
  <c r="E19" i="35"/>
  <c r="E20" i="35" s="1"/>
  <c r="M19" i="35"/>
  <c r="J19" i="35"/>
  <c r="J20" i="35" s="1"/>
  <c r="K19" i="35"/>
  <c r="K20" i="35" s="1"/>
  <c r="H19" i="35"/>
  <c r="H20" i="35" s="1"/>
  <c r="T19" i="35"/>
  <c r="Y19" i="35"/>
  <c r="AB19" i="35"/>
  <c r="V19" i="35"/>
  <c r="R19" i="35"/>
  <c r="P27" i="39"/>
  <c r="Z27" i="39"/>
  <c r="X27" i="39"/>
  <c r="AD19" i="37"/>
  <c r="AB19" i="37"/>
  <c r="Z19" i="37"/>
  <c r="O19" i="37"/>
  <c r="U19" i="37"/>
  <c r="Y19" i="37"/>
  <c r="H19" i="37"/>
  <c r="H20" i="37" s="1"/>
  <c r="C19" i="37"/>
  <c r="C20" i="37" s="1"/>
  <c r="V19" i="37"/>
  <c r="T19" i="37"/>
  <c r="R19" i="37"/>
  <c r="G19" i="37"/>
  <c r="G20" i="37" s="1"/>
  <c r="Q19" i="37"/>
  <c r="N19" i="37"/>
  <c r="L19" i="37"/>
  <c r="L20" i="37" s="1"/>
  <c r="J19" i="37"/>
  <c r="J20" i="37" s="1"/>
  <c r="I19" i="37"/>
  <c r="I20" i="37" s="1"/>
  <c r="S19" i="37"/>
  <c r="M19" i="37"/>
  <c r="E19" i="37"/>
  <c r="E20" i="37" s="1"/>
  <c r="F19" i="37"/>
  <c r="F20" i="37" s="1"/>
  <c r="D19" i="37"/>
  <c r="D20" i="37" s="1"/>
  <c r="AF19" i="37"/>
  <c r="W19" i="37"/>
  <c r="AC19" i="37"/>
  <c r="AA19" i="37"/>
  <c r="X19" i="37"/>
  <c r="AE19" i="37"/>
  <c r="P19" i="37"/>
  <c r="K19" i="37"/>
  <c r="K20" i="37" s="1"/>
  <c r="C27" i="39"/>
  <c r="C28" i="39" s="1"/>
  <c r="C29" i="39"/>
  <c r="C31" i="39"/>
  <c r="C32" i="39" s="1"/>
  <c r="N27" i="39"/>
  <c r="AD19" i="36"/>
  <c r="AB19" i="36"/>
  <c r="Z19" i="36"/>
  <c r="O19" i="36"/>
  <c r="I19" i="36"/>
  <c r="I20" i="36" s="1"/>
  <c r="P19" i="36"/>
  <c r="C19" i="36"/>
  <c r="V19" i="36"/>
  <c r="T19" i="36"/>
  <c r="R19" i="36"/>
  <c r="H19" i="36"/>
  <c r="H20" i="36" s="1"/>
  <c r="N19" i="36"/>
  <c r="L19" i="36"/>
  <c r="L20" i="36" s="1"/>
  <c r="J19" i="36"/>
  <c r="J20" i="36" s="1"/>
  <c r="G19" i="36"/>
  <c r="G20" i="36" s="1"/>
  <c r="S19" i="36"/>
  <c r="X19" i="36"/>
  <c r="F19" i="36"/>
  <c r="F20" i="36" s="1"/>
  <c r="D19" i="36"/>
  <c r="Y19" i="36"/>
  <c r="AF19" i="36"/>
  <c r="M19" i="36"/>
  <c r="AC19" i="36"/>
  <c r="AA19" i="36"/>
  <c r="Q19" i="36"/>
  <c r="AE19" i="36"/>
  <c r="U19" i="36"/>
  <c r="W19" i="36"/>
  <c r="K19" i="36"/>
  <c r="K20" i="36" s="1"/>
  <c r="E19" i="36"/>
  <c r="E20" i="36" s="1"/>
  <c r="O27" i="39"/>
  <c r="U27" i="39"/>
  <c r="T27" i="39"/>
  <c r="AD20" i="34"/>
  <c r="AB20" i="34"/>
  <c r="Z20" i="34"/>
  <c r="P20" i="34"/>
  <c r="V20" i="34"/>
  <c r="T20" i="34"/>
  <c r="R20" i="34"/>
  <c r="H20" i="34"/>
  <c r="H21" i="34" s="1"/>
  <c r="N20" i="34"/>
  <c r="L20" i="34"/>
  <c r="L21" i="34" s="1"/>
  <c r="J20" i="34"/>
  <c r="J21" i="34" s="1"/>
  <c r="G20" i="34"/>
  <c r="G21" i="34" s="1"/>
  <c r="F20" i="34"/>
  <c r="F21" i="34" s="1"/>
  <c r="D20" i="34"/>
  <c r="Y20" i="34"/>
  <c r="AE20" i="34"/>
  <c r="AC20" i="34"/>
  <c r="AA20" i="34"/>
  <c r="Q20" i="34"/>
  <c r="W20" i="34"/>
  <c r="U20" i="34"/>
  <c r="S20" i="34"/>
  <c r="I20" i="34"/>
  <c r="I21" i="34" s="1"/>
  <c r="O20" i="34"/>
  <c r="X20" i="34"/>
  <c r="M20" i="34"/>
  <c r="K20" i="34"/>
  <c r="K21" i="34" s="1"/>
  <c r="AF20" i="34"/>
  <c r="E20" i="34"/>
  <c r="E21" i="34" s="1"/>
  <c r="C20" i="34"/>
  <c r="G19" i="32"/>
  <c r="G20" i="32" s="1"/>
  <c r="W19" i="32"/>
  <c r="M19" i="32"/>
  <c r="K19" i="32"/>
  <c r="K20" i="32" s="1"/>
  <c r="H19" i="32"/>
  <c r="H20" i="32" s="1"/>
  <c r="P19" i="32"/>
  <c r="Y19" i="32"/>
  <c r="E19" i="32"/>
  <c r="E20" i="32" s="1"/>
  <c r="C19" i="32"/>
  <c r="C20" i="32" s="1"/>
  <c r="I19" i="32"/>
  <c r="I20" i="32" s="1"/>
  <c r="AD19" i="32"/>
  <c r="AB19" i="32"/>
  <c r="Z19" i="32"/>
  <c r="O19" i="32"/>
  <c r="AE19" i="32"/>
  <c r="V19" i="32"/>
  <c r="T19" i="32"/>
  <c r="R19" i="32"/>
  <c r="N19" i="32"/>
  <c r="L19" i="32"/>
  <c r="L20" i="32" s="1"/>
  <c r="J19" i="32"/>
  <c r="J20" i="32" s="1"/>
  <c r="Q19" i="32"/>
  <c r="S19" i="32"/>
  <c r="F19" i="32"/>
  <c r="F20" i="32" s="1"/>
  <c r="D19" i="32"/>
  <c r="D20" i="32" s="1"/>
  <c r="AF19" i="32"/>
  <c r="U19" i="32"/>
  <c r="AC19" i="32"/>
  <c r="AA19" i="32"/>
  <c r="X19" i="32"/>
  <c r="D24" i="34"/>
  <c r="E23" i="34" s="1"/>
  <c r="O2" i="32"/>
  <c r="P2" i="32" s="1"/>
  <c r="N3" i="32" s="1"/>
  <c r="C23" i="32"/>
  <c r="D22" i="32" s="1"/>
  <c r="D23" i="22"/>
  <c r="E22" i="22" s="1"/>
  <c r="E23" i="22" s="1"/>
  <c r="I22" i="3"/>
  <c r="D19" i="22"/>
  <c r="O4" i="22"/>
  <c r="P23" i="3"/>
  <c r="O22" i="3"/>
  <c r="N23" i="3"/>
  <c r="N22" i="3"/>
  <c r="P22" i="3"/>
  <c r="I23" i="3"/>
  <c r="O23" i="3"/>
  <c r="I23" i="12"/>
  <c r="I23" i="2"/>
  <c r="I22" i="2"/>
  <c r="O37" i="12"/>
  <c r="P38" i="12"/>
  <c r="P37" i="12"/>
  <c r="N37" i="12"/>
  <c r="N38" i="12"/>
  <c r="E24" i="36" l="1"/>
  <c r="E27" i="36" s="1"/>
  <c r="C30" i="39"/>
  <c r="D26" i="39" s="1"/>
  <c r="D28" i="39" s="1"/>
  <c r="D30" i="39" s="1"/>
  <c r="E26" i="39" s="1"/>
  <c r="E28" i="39" s="1"/>
  <c r="E30" i="39" s="1"/>
  <c r="F26" i="39" s="1"/>
  <c r="F28" i="39" s="1"/>
  <c r="C24" i="38"/>
  <c r="C27" i="38" s="1"/>
  <c r="C28" i="38" s="1"/>
  <c r="G23" i="36"/>
  <c r="G24" i="36" s="1"/>
  <c r="G27" i="36" s="1"/>
  <c r="W24" i="36"/>
  <c r="W20" i="36"/>
  <c r="W24" i="37"/>
  <c r="W20" i="37"/>
  <c r="AE24" i="35"/>
  <c r="AE20" i="35"/>
  <c r="AH24" i="22"/>
  <c r="AH31" i="22" s="1"/>
  <c r="AH20" i="22"/>
  <c r="AA24" i="38"/>
  <c r="AA20" i="38"/>
  <c r="AE24" i="36"/>
  <c r="AE20" i="36"/>
  <c r="R24" i="36"/>
  <c r="R20" i="36"/>
  <c r="AB24" i="36"/>
  <c r="AB20" i="36"/>
  <c r="N24" i="37"/>
  <c r="N20" i="37"/>
  <c r="Y20" i="37"/>
  <c r="Y24" i="37"/>
  <c r="T24" i="35"/>
  <c r="T20" i="35"/>
  <c r="W24" i="35"/>
  <c r="W20" i="35"/>
  <c r="W24" i="38"/>
  <c r="W27" i="38" s="1"/>
  <c r="W20" i="38"/>
  <c r="O20" i="38"/>
  <c r="O24" i="38"/>
  <c r="AK20" i="22"/>
  <c r="AK24" i="22"/>
  <c r="AK31" i="22" s="1"/>
  <c r="Z24" i="35"/>
  <c r="Z20" i="35"/>
  <c r="S24" i="38"/>
  <c r="S20" i="38"/>
  <c r="E23" i="38"/>
  <c r="E24" i="38" s="1"/>
  <c r="D20" i="36"/>
  <c r="D24" i="36"/>
  <c r="D27" i="36" s="1"/>
  <c r="S20" i="35"/>
  <c r="S24" i="35"/>
  <c r="D24" i="38"/>
  <c r="Q20" i="36"/>
  <c r="Q24" i="36"/>
  <c r="X24" i="36"/>
  <c r="X20" i="36"/>
  <c r="T24" i="36"/>
  <c r="T20" i="36"/>
  <c r="AD20" i="36"/>
  <c r="AD24" i="36"/>
  <c r="P20" i="37"/>
  <c r="P24" i="37"/>
  <c r="Q20" i="37"/>
  <c r="Q24" i="37"/>
  <c r="U20" i="37"/>
  <c r="U24" i="37"/>
  <c r="AF24" i="35"/>
  <c r="AF20" i="35"/>
  <c r="N20" i="35"/>
  <c r="N24" i="35"/>
  <c r="U20" i="38"/>
  <c r="U24" i="38"/>
  <c r="R24" i="38"/>
  <c r="R20" i="38"/>
  <c r="AI20" i="22"/>
  <c r="AI24" i="22"/>
  <c r="AI31" i="22" s="1"/>
  <c r="F24" i="36"/>
  <c r="N24" i="36"/>
  <c r="N20" i="36"/>
  <c r="P24" i="35"/>
  <c r="P20" i="35"/>
  <c r="AB24" i="38"/>
  <c r="AB27" i="38" s="1"/>
  <c r="AB20" i="38"/>
  <c r="U24" i="36"/>
  <c r="U20" i="36"/>
  <c r="AF20" i="37"/>
  <c r="AF24" i="37"/>
  <c r="O20" i="35"/>
  <c r="O24" i="35"/>
  <c r="AA24" i="36"/>
  <c r="AA20" i="36"/>
  <c r="S24" i="36"/>
  <c r="S20" i="36"/>
  <c r="V20" i="36"/>
  <c r="V24" i="36"/>
  <c r="AE24" i="37"/>
  <c r="AE27" i="37" s="1"/>
  <c r="AE20" i="37"/>
  <c r="O24" i="37"/>
  <c r="O20" i="37"/>
  <c r="AC24" i="35"/>
  <c r="AC20" i="35"/>
  <c r="E38" i="39"/>
  <c r="E39" i="39" s="1"/>
  <c r="E40" i="39" s="1"/>
  <c r="E34" i="39"/>
  <c r="E35" i="39" s="1"/>
  <c r="E36" i="39" s="1"/>
  <c r="AE24" i="38"/>
  <c r="AE20" i="38"/>
  <c r="T20" i="38"/>
  <c r="T24" i="38"/>
  <c r="Q20" i="38"/>
  <c r="Q24" i="38"/>
  <c r="Q27" i="38" s="1"/>
  <c r="C24" i="35"/>
  <c r="C27" i="35" s="1"/>
  <c r="C28" i="35" s="1"/>
  <c r="AJ24" i="22"/>
  <c r="AJ31" i="22" s="1"/>
  <c r="AJ20" i="22"/>
  <c r="E23" i="37"/>
  <c r="E24" i="37" s="1"/>
  <c r="E27" i="37" s="1"/>
  <c r="O24" i="36"/>
  <c r="O20" i="36"/>
  <c r="AB20" i="35"/>
  <c r="AB24" i="35"/>
  <c r="D34" i="39"/>
  <c r="D35" i="39" s="1"/>
  <c r="D36" i="39" s="1"/>
  <c r="D38" i="39"/>
  <c r="D39" i="39" s="1"/>
  <c r="D40" i="39" s="1"/>
  <c r="Z24" i="36"/>
  <c r="Z20" i="36"/>
  <c r="Y24" i="35"/>
  <c r="Y20" i="35"/>
  <c r="AM20" i="22"/>
  <c r="AM24" i="22"/>
  <c r="AM31" i="22" s="1"/>
  <c r="AC20" i="36"/>
  <c r="AC24" i="36"/>
  <c r="C24" i="36"/>
  <c r="C27" i="36" s="1"/>
  <c r="C28" i="36" s="1"/>
  <c r="C20" i="36"/>
  <c r="X20" i="37"/>
  <c r="X24" i="37"/>
  <c r="M24" i="37"/>
  <c r="M27" i="37" s="1"/>
  <c r="M20" i="37"/>
  <c r="R20" i="37"/>
  <c r="R24" i="37"/>
  <c r="Z24" i="37"/>
  <c r="Z20" i="37"/>
  <c r="U24" i="35"/>
  <c r="U20" i="35"/>
  <c r="Q24" i="35"/>
  <c r="Q20" i="35"/>
  <c r="AC24" i="38"/>
  <c r="AC27" i="38" s="1"/>
  <c r="AC20" i="38"/>
  <c r="N24" i="38"/>
  <c r="N20" i="38"/>
  <c r="V24" i="38"/>
  <c r="V20" i="38"/>
  <c r="X20" i="38"/>
  <c r="X24" i="38"/>
  <c r="AO24" i="22"/>
  <c r="AO31" i="22" s="1"/>
  <c r="AO20" i="22"/>
  <c r="AP24" i="22"/>
  <c r="AP31" i="22" s="1"/>
  <c r="AP20" i="22"/>
  <c r="D24" i="37"/>
  <c r="D27" i="37" s="1"/>
  <c r="Y24" i="36"/>
  <c r="Y20" i="36"/>
  <c r="AD24" i="38"/>
  <c r="AD27" i="38" s="1"/>
  <c r="AD20" i="38"/>
  <c r="M20" i="36"/>
  <c r="M24" i="36"/>
  <c r="P20" i="36"/>
  <c r="P24" i="36"/>
  <c r="C24" i="37"/>
  <c r="C27" i="37" s="1"/>
  <c r="C28" i="37" s="1"/>
  <c r="AA24" i="37"/>
  <c r="AA20" i="37"/>
  <c r="S24" i="37"/>
  <c r="S20" i="37"/>
  <c r="T24" i="37"/>
  <c r="T20" i="37"/>
  <c r="AB24" i="37"/>
  <c r="AB20" i="37"/>
  <c r="R20" i="35"/>
  <c r="R24" i="35"/>
  <c r="M24" i="35"/>
  <c r="M20" i="35"/>
  <c r="X20" i="35"/>
  <c r="X24" i="35"/>
  <c r="AD24" i="35"/>
  <c r="AD20" i="35"/>
  <c r="AF24" i="38"/>
  <c r="AF20" i="38"/>
  <c r="P20" i="38"/>
  <c r="P24" i="38"/>
  <c r="P27" i="38" s="1"/>
  <c r="AN24" i="22"/>
  <c r="AN31" i="22" s="1"/>
  <c r="AN20" i="22"/>
  <c r="E23" i="35"/>
  <c r="E24" i="35" s="1"/>
  <c r="F29" i="39"/>
  <c r="F31" i="39" s="1"/>
  <c r="F32" i="39" s="1"/>
  <c r="AF20" i="36"/>
  <c r="AF24" i="36"/>
  <c r="C34" i="39"/>
  <c r="C35" i="39" s="1"/>
  <c r="C36" i="39" s="1"/>
  <c r="C37" i="39" s="1"/>
  <c r="C38" i="39"/>
  <c r="C39" i="39" s="1"/>
  <c r="C40" i="39" s="1"/>
  <c r="C41" i="39" s="1"/>
  <c r="AC24" i="37"/>
  <c r="AC20" i="37"/>
  <c r="V20" i="37"/>
  <c r="V24" i="37"/>
  <c r="AD24" i="37"/>
  <c r="AD20" i="37"/>
  <c r="V20" i="35"/>
  <c r="V24" i="35"/>
  <c r="AA20" i="35"/>
  <c r="AA24" i="35"/>
  <c r="Y24" i="38"/>
  <c r="Y20" i="38"/>
  <c r="M24" i="38"/>
  <c r="M20" i="38"/>
  <c r="Z20" i="38"/>
  <c r="Z24" i="38"/>
  <c r="AL24" i="22"/>
  <c r="AL31" i="22" s="1"/>
  <c r="AL20" i="22"/>
  <c r="AG24" i="22"/>
  <c r="AG31" i="22" s="1"/>
  <c r="AG20" i="22"/>
  <c r="D24" i="35"/>
  <c r="D27" i="35" s="1"/>
  <c r="C24" i="32"/>
  <c r="D23" i="32"/>
  <c r="D24" i="32" s="1"/>
  <c r="E24" i="34"/>
  <c r="E25" i="34" s="1"/>
  <c r="T20" i="32"/>
  <c r="T24" i="32"/>
  <c r="Y25" i="34"/>
  <c r="Y21" i="34"/>
  <c r="R25" i="34"/>
  <c r="R21" i="34"/>
  <c r="AE21" i="34"/>
  <c r="AE25" i="34"/>
  <c r="V20" i="32"/>
  <c r="V24" i="32"/>
  <c r="C25" i="34"/>
  <c r="C21" i="34"/>
  <c r="S21" i="34"/>
  <c r="S25" i="34"/>
  <c r="D21" i="34"/>
  <c r="D25" i="34"/>
  <c r="T21" i="34"/>
  <c r="T25" i="34"/>
  <c r="O3" i="32"/>
  <c r="P3" i="32" s="1"/>
  <c r="N4" i="32" s="1"/>
  <c r="S24" i="32"/>
  <c r="S20" i="32"/>
  <c r="AE24" i="32"/>
  <c r="AE20" i="32"/>
  <c r="Y24" i="32"/>
  <c r="Y20" i="32"/>
  <c r="U25" i="34"/>
  <c r="U21" i="34"/>
  <c r="V21" i="34"/>
  <c r="V25" i="34"/>
  <c r="X20" i="32"/>
  <c r="X24" i="32"/>
  <c r="Q20" i="32"/>
  <c r="Q24" i="32"/>
  <c r="O24" i="32"/>
  <c r="O20" i="32"/>
  <c r="P24" i="32"/>
  <c r="P20" i="32"/>
  <c r="AF21" i="34"/>
  <c r="AF25" i="34"/>
  <c r="W25" i="34"/>
  <c r="W21" i="34"/>
  <c r="P21" i="34"/>
  <c r="P25" i="34"/>
  <c r="P28" i="34" s="1"/>
  <c r="R24" i="32"/>
  <c r="R20" i="32"/>
  <c r="W20" i="32"/>
  <c r="W24" i="32"/>
  <c r="AA20" i="32"/>
  <c r="AA24" i="32"/>
  <c r="Z20" i="32"/>
  <c r="Z24" i="32"/>
  <c r="Q25" i="34"/>
  <c r="Q21" i="34"/>
  <c r="Z25" i="34"/>
  <c r="Z21" i="34"/>
  <c r="AF20" i="32"/>
  <c r="AF24" i="32"/>
  <c r="O21" i="34"/>
  <c r="O25" i="34"/>
  <c r="AC24" i="32"/>
  <c r="AC20" i="32"/>
  <c r="AB24" i="32"/>
  <c r="AB20" i="32"/>
  <c r="M25" i="34"/>
  <c r="M21" i="34"/>
  <c r="AA25" i="34"/>
  <c r="AA21" i="34"/>
  <c r="AB25" i="34"/>
  <c r="AB21" i="34"/>
  <c r="U24" i="32"/>
  <c r="U20" i="32"/>
  <c r="N24" i="32"/>
  <c r="N20" i="32"/>
  <c r="AD24" i="32"/>
  <c r="AD20" i="32"/>
  <c r="M24" i="32"/>
  <c r="M20" i="32"/>
  <c r="X25" i="34"/>
  <c r="X21" i="34"/>
  <c r="AC25" i="34"/>
  <c r="AC21" i="34"/>
  <c r="N25" i="34"/>
  <c r="N21" i="34"/>
  <c r="AD25" i="34"/>
  <c r="AD21" i="34"/>
  <c r="D24" i="22"/>
  <c r="C27" i="22"/>
  <c r="C28" i="22" s="1"/>
  <c r="C29" i="22" s="1"/>
  <c r="C31" i="22" s="1"/>
  <c r="C20" i="22"/>
  <c r="I25" i="3"/>
  <c r="P4" i="22"/>
  <c r="N5" i="22" s="1"/>
  <c r="I23" i="1"/>
  <c r="I22" i="1"/>
  <c r="I25" i="2"/>
  <c r="I25" i="12"/>
  <c r="F22" i="35" l="1"/>
  <c r="C29" i="38"/>
  <c r="C31" i="38" s="1"/>
  <c r="C32" i="38" s="1"/>
  <c r="C34" i="38" s="1"/>
  <c r="C35" i="38" s="1"/>
  <c r="C36" i="38" s="1"/>
  <c r="C37" i="38" s="1"/>
  <c r="AL32" i="22"/>
  <c r="AL34" i="22" s="1"/>
  <c r="AL35" i="22" s="1"/>
  <c r="AL36" i="22" s="1"/>
  <c r="AP32" i="22"/>
  <c r="AP34" i="22" s="1"/>
  <c r="AP35" i="22" s="1"/>
  <c r="AP36" i="22" s="1"/>
  <c r="AI32" i="22"/>
  <c r="AI34" i="22" s="1"/>
  <c r="AI35" i="22" s="1"/>
  <c r="AI36" i="22" s="1"/>
  <c r="AJ32" i="22"/>
  <c r="AJ34" i="22" s="1"/>
  <c r="AJ35" i="22" s="1"/>
  <c r="AJ36" i="22" s="1"/>
  <c r="H22" i="36"/>
  <c r="H23" i="36" s="1"/>
  <c r="H24" i="36" s="1"/>
  <c r="AN32" i="22"/>
  <c r="AN34" i="22" s="1"/>
  <c r="AN35" i="22" s="1"/>
  <c r="AN36" i="22" s="1"/>
  <c r="AH32" i="22"/>
  <c r="AH34" i="22" s="1"/>
  <c r="AH35" i="22" s="1"/>
  <c r="AH36" i="22" s="1"/>
  <c r="D37" i="39"/>
  <c r="E37" i="39" s="1"/>
  <c r="R27" i="38"/>
  <c r="AB27" i="35"/>
  <c r="P27" i="35"/>
  <c r="AE27" i="35"/>
  <c r="AC27" i="37"/>
  <c r="E27" i="35"/>
  <c r="AD27" i="35"/>
  <c r="AB27" i="37"/>
  <c r="P27" i="36"/>
  <c r="Q27" i="35"/>
  <c r="AM32" i="22"/>
  <c r="AM34" i="22" s="1"/>
  <c r="AM35" i="22" s="1"/>
  <c r="AM36" i="22" s="1"/>
  <c r="AF27" i="37"/>
  <c r="X27" i="36"/>
  <c r="F22" i="38"/>
  <c r="O27" i="38"/>
  <c r="Y27" i="37"/>
  <c r="Y27" i="38"/>
  <c r="O27" i="35"/>
  <c r="AA27" i="35"/>
  <c r="C29" i="35"/>
  <c r="C31" i="35" s="1"/>
  <c r="C32" i="35" s="1"/>
  <c r="T27" i="35"/>
  <c r="Z27" i="38"/>
  <c r="V27" i="35"/>
  <c r="X27" i="35"/>
  <c r="Y27" i="36"/>
  <c r="X27" i="37"/>
  <c r="AC27" i="35"/>
  <c r="S27" i="36"/>
  <c r="N27" i="36"/>
  <c r="N27" i="35"/>
  <c r="P27" i="37"/>
  <c r="Q27" i="36"/>
  <c r="E27" i="38"/>
  <c r="AE27" i="36"/>
  <c r="W27" i="37"/>
  <c r="AF27" i="38"/>
  <c r="C29" i="37"/>
  <c r="C31" i="37" s="1"/>
  <c r="C32" i="37" s="1"/>
  <c r="AK32" i="22"/>
  <c r="AK34" i="22" s="1"/>
  <c r="AK35" i="22" s="1"/>
  <c r="AK36" i="22" s="1"/>
  <c r="T27" i="37"/>
  <c r="M27" i="36"/>
  <c r="V27" i="38"/>
  <c r="U27" i="35"/>
  <c r="Y27" i="35"/>
  <c r="O27" i="36"/>
  <c r="T27" i="38"/>
  <c r="F27" i="36"/>
  <c r="AA27" i="37"/>
  <c r="V27" i="36"/>
  <c r="Q27" i="37"/>
  <c r="R27" i="36"/>
  <c r="AF27" i="36"/>
  <c r="F22" i="37"/>
  <c r="O27" i="37"/>
  <c r="AA27" i="36"/>
  <c r="U27" i="36"/>
  <c r="AD27" i="36"/>
  <c r="D27" i="38"/>
  <c r="S27" i="38"/>
  <c r="N27" i="37"/>
  <c r="AA27" i="38"/>
  <c r="W27" i="36"/>
  <c r="F38" i="39"/>
  <c r="F39" i="39" s="1"/>
  <c r="F40" i="39" s="1"/>
  <c r="F34" i="39"/>
  <c r="F35" i="39" s="1"/>
  <c r="F36" i="39" s="1"/>
  <c r="X27" i="38"/>
  <c r="U27" i="38"/>
  <c r="M27" i="38"/>
  <c r="AD27" i="37"/>
  <c r="M27" i="35"/>
  <c r="S27" i="37"/>
  <c r="N27" i="38"/>
  <c r="Z27" i="37"/>
  <c r="C29" i="36"/>
  <c r="C31" i="36" s="1"/>
  <c r="C32" i="36" s="1"/>
  <c r="Z27" i="36"/>
  <c r="AF27" i="35"/>
  <c r="S27" i="35"/>
  <c r="T27" i="36"/>
  <c r="F23" i="35"/>
  <c r="F24" i="35" s="1"/>
  <c r="AG32" i="22"/>
  <c r="AG34" i="22" s="1"/>
  <c r="AG35" i="22" s="1"/>
  <c r="AG36" i="22" s="1"/>
  <c r="V27" i="37"/>
  <c r="F30" i="39"/>
  <c r="G26" i="39" s="1"/>
  <c r="G28" i="39" s="1"/>
  <c r="R27" i="35"/>
  <c r="AO32" i="22"/>
  <c r="AO34" i="22" s="1"/>
  <c r="AO35" i="22" s="1"/>
  <c r="AO36" i="22" s="1"/>
  <c r="R27" i="37"/>
  <c r="AC27" i="36"/>
  <c r="D41" i="39"/>
  <c r="E41" i="39" s="1"/>
  <c r="AE27" i="38"/>
  <c r="U27" i="37"/>
  <c r="Z27" i="35"/>
  <c r="W27" i="35"/>
  <c r="AB27" i="36"/>
  <c r="C27" i="32"/>
  <c r="C28" i="32" s="1"/>
  <c r="C29" i="32" s="1"/>
  <c r="C31" i="32" s="1"/>
  <c r="C32" i="32" s="1"/>
  <c r="E22" i="32"/>
  <c r="E23" i="32" s="1"/>
  <c r="E24" i="32" s="1"/>
  <c r="F23" i="34"/>
  <c r="F24" i="34" s="1"/>
  <c r="F25" i="34" s="1"/>
  <c r="O4" i="32"/>
  <c r="P4" i="32" s="1"/>
  <c r="N5" i="32" s="1"/>
  <c r="Q27" i="32"/>
  <c r="AF28" i="34"/>
  <c r="C28" i="34"/>
  <c r="C29" i="34" s="1"/>
  <c r="C30" i="34" s="1"/>
  <c r="C32" i="34" s="1"/>
  <c r="C33" i="34" s="1"/>
  <c r="X28" i="34"/>
  <c r="U27" i="32"/>
  <c r="AB27" i="32"/>
  <c r="Z28" i="34"/>
  <c r="AE27" i="32"/>
  <c r="T28" i="34"/>
  <c r="V27" i="32"/>
  <c r="AF27" i="32"/>
  <c r="W27" i="32"/>
  <c r="X27" i="32"/>
  <c r="Y28" i="34"/>
  <c r="V28" i="34"/>
  <c r="T27" i="32"/>
  <c r="AA27" i="32"/>
  <c r="AD28" i="34"/>
  <c r="M27" i="32"/>
  <c r="AB28" i="34"/>
  <c r="AC27" i="32"/>
  <c r="Q28" i="34"/>
  <c r="R27" i="32"/>
  <c r="P27" i="32"/>
  <c r="S27" i="32"/>
  <c r="D28" i="34"/>
  <c r="AE28" i="34"/>
  <c r="O28" i="34"/>
  <c r="Z27" i="32"/>
  <c r="N28" i="34"/>
  <c r="AD27" i="32"/>
  <c r="AA28" i="34"/>
  <c r="O27" i="32"/>
  <c r="U28" i="34"/>
  <c r="S28" i="34"/>
  <c r="E28" i="34"/>
  <c r="R28" i="34"/>
  <c r="C30" i="22"/>
  <c r="D26" i="22" s="1"/>
  <c r="AC28" i="34"/>
  <c r="N27" i="32"/>
  <c r="M28" i="34"/>
  <c r="W28" i="34"/>
  <c r="Y27" i="32"/>
  <c r="D27" i="32"/>
  <c r="D27" i="22"/>
  <c r="C32" i="22"/>
  <c r="F22" i="22"/>
  <c r="F23" i="22" s="1"/>
  <c r="O5" i="22"/>
  <c r="P5" i="22" s="1"/>
  <c r="N6" i="22" s="1"/>
  <c r="I25" i="1"/>
  <c r="I22" i="36" l="1"/>
  <c r="I23" i="36" s="1"/>
  <c r="I24" i="36" s="1"/>
  <c r="C38" i="38"/>
  <c r="C39" i="38" s="1"/>
  <c r="C40" i="38" s="1"/>
  <c r="C41" i="38" s="1"/>
  <c r="C30" i="38"/>
  <c r="D26" i="38" s="1"/>
  <c r="D28" i="38" s="1"/>
  <c r="G22" i="35"/>
  <c r="G23" i="35" s="1"/>
  <c r="G24" i="35" s="1"/>
  <c r="C30" i="36"/>
  <c r="D26" i="36" s="1"/>
  <c r="D28" i="36" s="1"/>
  <c r="D29" i="36" s="1"/>
  <c r="D31" i="36" s="1"/>
  <c r="D32" i="36" s="1"/>
  <c r="C30" i="35"/>
  <c r="D26" i="35" s="1"/>
  <c r="D28" i="35" s="1"/>
  <c r="D29" i="35" s="1"/>
  <c r="D31" i="35" s="1"/>
  <c r="D32" i="35" s="1"/>
  <c r="C34" i="36"/>
  <c r="C35" i="36" s="1"/>
  <c r="C36" i="36" s="1"/>
  <c r="C37" i="36" s="1"/>
  <c r="C38" i="36"/>
  <c r="C39" i="36" s="1"/>
  <c r="C40" i="36" s="1"/>
  <c r="C41" i="36" s="1"/>
  <c r="F27" i="35"/>
  <c r="F41" i="39"/>
  <c r="C30" i="37"/>
  <c r="D26" i="37" s="1"/>
  <c r="D28" i="37" s="1"/>
  <c r="F23" i="38"/>
  <c r="F24" i="38" s="1"/>
  <c r="G29" i="39"/>
  <c r="G31" i="39" s="1"/>
  <c r="G32" i="39" s="1"/>
  <c r="F23" i="37"/>
  <c r="F24" i="37" s="1"/>
  <c r="F27" i="37" s="1"/>
  <c r="C38" i="37"/>
  <c r="C39" i="37" s="1"/>
  <c r="C40" i="37" s="1"/>
  <c r="C41" i="37" s="1"/>
  <c r="C34" i="37"/>
  <c r="C35" i="37" s="1"/>
  <c r="C36" i="37" s="1"/>
  <c r="C37" i="37" s="1"/>
  <c r="C34" i="35"/>
  <c r="C35" i="35" s="1"/>
  <c r="C36" i="35" s="1"/>
  <c r="C37" i="35" s="1"/>
  <c r="C38" i="35"/>
  <c r="C39" i="35" s="1"/>
  <c r="C40" i="35" s="1"/>
  <c r="C41" i="35" s="1"/>
  <c r="H27" i="36"/>
  <c r="F37" i="39"/>
  <c r="C34" i="32"/>
  <c r="C35" i="32" s="1"/>
  <c r="C36" i="32" s="1"/>
  <c r="C37" i="32" s="1"/>
  <c r="C38" i="32"/>
  <c r="C39" i="32" s="1"/>
  <c r="C40" i="32" s="1"/>
  <c r="C41" i="32" s="1"/>
  <c r="C30" i="32"/>
  <c r="D26" i="32" s="1"/>
  <c r="D28" i="32" s="1"/>
  <c r="G23" i="34"/>
  <c r="G24" i="34" s="1"/>
  <c r="G25" i="34" s="1"/>
  <c r="C31" i="34"/>
  <c r="D27" i="34" s="1"/>
  <c r="D29" i="34" s="1"/>
  <c r="D28" i="22"/>
  <c r="F22" i="32"/>
  <c r="C38" i="22"/>
  <c r="C39" i="22" s="1"/>
  <c r="C40" i="22" s="1"/>
  <c r="C41" i="22" s="1"/>
  <c r="C34" i="22"/>
  <c r="C35" i="22" s="1"/>
  <c r="E27" i="32"/>
  <c r="C39" i="34"/>
  <c r="C40" i="34" s="1"/>
  <c r="C41" i="34" s="1"/>
  <c r="C42" i="34" s="1"/>
  <c r="C35" i="34"/>
  <c r="C36" i="34" s="1"/>
  <c r="C37" i="34" s="1"/>
  <c r="C38" i="34" s="1"/>
  <c r="O5" i="32"/>
  <c r="P5" i="32" s="1"/>
  <c r="N6" i="32" s="1"/>
  <c r="O6" i="32" s="1"/>
  <c r="P6" i="32" s="1"/>
  <c r="N7" i="32" s="1"/>
  <c r="F28" i="34"/>
  <c r="G22" i="22"/>
  <c r="G23" i="22" s="1"/>
  <c r="G19" i="22"/>
  <c r="G20" i="22" s="1"/>
  <c r="O19" i="22"/>
  <c r="W19" i="22"/>
  <c r="AE19" i="22"/>
  <c r="T19" i="22"/>
  <c r="H19" i="22"/>
  <c r="H20" i="22" s="1"/>
  <c r="P19" i="22"/>
  <c r="X19" i="22"/>
  <c r="AF19" i="22"/>
  <c r="AF20" i="22" s="1"/>
  <c r="I19" i="22"/>
  <c r="I20" i="22" s="1"/>
  <c r="Q19" i="22"/>
  <c r="Y19" i="22"/>
  <c r="D20" i="22"/>
  <c r="F19" i="22"/>
  <c r="F20" i="22" s="1"/>
  <c r="J19" i="22"/>
  <c r="J20" i="22" s="1"/>
  <c r="R19" i="22"/>
  <c r="Z19" i="22"/>
  <c r="L19" i="22"/>
  <c r="L20" i="22" s="1"/>
  <c r="AB19" i="22"/>
  <c r="K19" i="22"/>
  <c r="K20" i="22" s="1"/>
  <c r="S19" i="22"/>
  <c r="AA19" i="22"/>
  <c r="AD19" i="22"/>
  <c r="V19" i="22"/>
  <c r="E19" i="22"/>
  <c r="M19" i="22"/>
  <c r="U19" i="22"/>
  <c r="AC19" i="22"/>
  <c r="N19" i="22"/>
  <c r="O6" i="22"/>
  <c r="J22" i="36" l="1"/>
  <c r="J23" i="36" s="1"/>
  <c r="J24" i="36" s="1"/>
  <c r="J27" i="36" s="1"/>
  <c r="D30" i="36"/>
  <c r="E26" i="36" s="1"/>
  <c r="E28" i="36" s="1"/>
  <c r="E29" i="36" s="1"/>
  <c r="E31" i="36" s="1"/>
  <c r="E32" i="36" s="1"/>
  <c r="D29" i="38"/>
  <c r="D31" i="38" s="1"/>
  <c r="D32" i="38" s="1"/>
  <c r="G22" i="38"/>
  <c r="G23" i="38" s="1"/>
  <c r="G24" i="38" s="1"/>
  <c r="D30" i="35"/>
  <c r="E26" i="35" s="1"/>
  <c r="E28" i="35" s="1"/>
  <c r="E29" i="35" s="1"/>
  <c r="E31" i="35" s="1"/>
  <c r="E32" i="35" s="1"/>
  <c r="F27" i="38"/>
  <c r="G22" i="37"/>
  <c r="D29" i="37"/>
  <c r="D31" i="37" s="1"/>
  <c r="D32" i="37" s="1"/>
  <c r="I27" i="36"/>
  <c r="D34" i="35"/>
  <c r="D35" i="35" s="1"/>
  <c r="D36" i="35" s="1"/>
  <c r="D37" i="35" s="1"/>
  <c r="D38" i="35"/>
  <c r="D39" i="35" s="1"/>
  <c r="D40" i="35" s="1"/>
  <c r="D41" i="35" s="1"/>
  <c r="H22" i="35"/>
  <c r="G30" i="39"/>
  <c r="H26" i="39" s="1"/>
  <c r="H28" i="39" s="1"/>
  <c r="G27" i="35"/>
  <c r="G34" i="39"/>
  <c r="G35" i="39" s="1"/>
  <c r="G36" i="39" s="1"/>
  <c r="G37" i="39" s="1"/>
  <c r="G38" i="39"/>
  <c r="G39" i="39" s="1"/>
  <c r="G40" i="39" s="1"/>
  <c r="G41" i="39" s="1"/>
  <c r="D34" i="36"/>
  <c r="D35" i="36" s="1"/>
  <c r="D36" i="36" s="1"/>
  <c r="D37" i="36" s="1"/>
  <c r="D38" i="36"/>
  <c r="D39" i="36" s="1"/>
  <c r="D40" i="36" s="1"/>
  <c r="D41" i="36" s="1"/>
  <c r="D29" i="32"/>
  <c r="D31" i="32" s="1"/>
  <c r="D32" i="32" s="1"/>
  <c r="D29" i="22"/>
  <c r="D31" i="22" s="1"/>
  <c r="D30" i="34"/>
  <c r="D32" i="34" s="1"/>
  <c r="D33" i="34" s="1"/>
  <c r="O7" i="32"/>
  <c r="P7" i="32" s="1"/>
  <c r="N8" i="32" s="1"/>
  <c r="O8" i="32" s="1"/>
  <c r="P8" i="32" s="1"/>
  <c r="N9" i="32" s="1"/>
  <c r="O9" i="32" s="1"/>
  <c r="P9" i="32" s="1"/>
  <c r="N10" i="32" s="1"/>
  <c r="O10" i="32" s="1"/>
  <c r="P10" i="32" s="1"/>
  <c r="N11" i="32" s="1"/>
  <c r="O11" i="32" s="1"/>
  <c r="P11" i="32" s="1"/>
  <c r="H23" i="34"/>
  <c r="G28" i="34"/>
  <c r="F23" i="32"/>
  <c r="F24" i="32" s="1"/>
  <c r="M20" i="22"/>
  <c r="E20" i="22"/>
  <c r="E24" i="22"/>
  <c r="V20" i="22"/>
  <c r="R20" i="22"/>
  <c r="X20" i="22"/>
  <c r="Z20" i="22"/>
  <c r="P20" i="22"/>
  <c r="N20" i="22"/>
  <c r="S20" i="22"/>
  <c r="T20" i="22"/>
  <c r="O20" i="22"/>
  <c r="AD20" i="22"/>
  <c r="AA20" i="22"/>
  <c r="AC20" i="22"/>
  <c r="Y20" i="22"/>
  <c r="AE20" i="22"/>
  <c r="U20" i="22"/>
  <c r="AB20" i="22"/>
  <c r="Q20" i="22"/>
  <c r="W20" i="22"/>
  <c r="F24" i="22"/>
  <c r="G24" i="22"/>
  <c r="C36" i="22"/>
  <c r="C37" i="22" s="1"/>
  <c r="P6" i="22"/>
  <c r="N7" i="22" s="1"/>
  <c r="D34" i="38" l="1"/>
  <c r="D35" i="38" s="1"/>
  <c r="D36" i="38" s="1"/>
  <c r="D37" i="38" s="1"/>
  <c r="D38" i="38"/>
  <c r="D39" i="38" s="1"/>
  <c r="D40" i="38" s="1"/>
  <c r="D41" i="38" s="1"/>
  <c r="D30" i="38"/>
  <c r="E26" i="38" s="1"/>
  <c r="E28" i="38" s="1"/>
  <c r="D30" i="37"/>
  <c r="E26" i="37" s="1"/>
  <c r="E28" i="37" s="1"/>
  <c r="E29" i="37" s="1"/>
  <c r="E31" i="37" s="1"/>
  <c r="E32" i="37" s="1"/>
  <c r="E38" i="35"/>
  <c r="E39" i="35" s="1"/>
  <c r="E40" i="35" s="1"/>
  <c r="E41" i="35" s="1"/>
  <c r="E34" i="35"/>
  <c r="E35" i="35" s="1"/>
  <c r="E36" i="35" s="1"/>
  <c r="E37" i="35" s="1"/>
  <c r="E30" i="35"/>
  <c r="F26" i="35" s="1"/>
  <c r="F28" i="35" s="1"/>
  <c r="G27" i="38"/>
  <c r="E34" i="36"/>
  <c r="E35" i="36" s="1"/>
  <c r="E36" i="36" s="1"/>
  <c r="E37" i="36" s="1"/>
  <c r="E38" i="36"/>
  <c r="E39" i="36" s="1"/>
  <c r="E40" i="36" s="1"/>
  <c r="E41" i="36" s="1"/>
  <c r="E30" i="36"/>
  <c r="F26" i="36" s="1"/>
  <c r="F28" i="36" s="1"/>
  <c r="D34" i="37"/>
  <c r="D35" i="37" s="1"/>
  <c r="D36" i="37" s="1"/>
  <c r="D37" i="37" s="1"/>
  <c r="D38" i="37"/>
  <c r="D39" i="37" s="1"/>
  <c r="D40" i="37" s="1"/>
  <c r="D41" i="37" s="1"/>
  <c r="H29" i="39"/>
  <c r="H31" i="39" s="1"/>
  <c r="H32" i="39" s="1"/>
  <c r="K22" i="36"/>
  <c r="G23" i="37"/>
  <c r="G24" i="37" s="1"/>
  <c r="H23" i="35"/>
  <c r="H24" i="35" s="1"/>
  <c r="H27" i="35" s="1"/>
  <c r="H22" i="38"/>
  <c r="D34" i="32"/>
  <c r="D35" i="32" s="1"/>
  <c r="D36" i="32" s="1"/>
  <c r="D37" i="32" s="1"/>
  <c r="D38" i="32"/>
  <c r="D39" i="32" s="1"/>
  <c r="D40" i="32" s="1"/>
  <c r="D41" i="32" s="1"/>
  <c r="D30" i="32"/>
  <c r="E26" i="32" s="1"/>
  <c r="E28" i="32" s="1"/>
  <c r="D30" i="22"/>
  <c r="E26" i="22" s="1"/>
  <c r="D39" i="34"/>
  <c r="D40" i="34" s="1"/>
  <c r="D41" i="34" s="1"/>
  <c r="D42" i="34" s="1"/>
  <c r="D35" i="34"/>
  <c r="D36" i="34" s="1"/>
  <c r="D37" i="34" s="1"/>
  <c r="D38" i="34" s="1"/>
  <c r="D31" i="34"/>
  <c r="E27" i="34" s="1"/>
  <c r="E29" i="34" s="1"/>
  <c r="G22" i="32"/>
  <c r="G23" i="32" s="1"/>
  <c r="G24" i="32" s="1"/>
  <c r="F27" i="32"/>
  <c r="H24" i="34"/>
  <c r="H25" i="34" s="1"/>
  <c r="G27" i="22"/>
  <c r="E27" i="22"/>
  <c r="F27" i="22"/>
  <c r="H22" i="22"/>
  <c r="H23" i="22" s="1"/>
  <c r="H24" i="22" s="1"/>
  <c r="O7" i="22"/>
  <c r="P7" i="22" s="1"/>
  <c r="N8" i="22" s="1"/>
  <c r="I22" i="35" l="1"/>
  <c r="I23" i="35" s="1"/>
  <c r="I24" i="35" s="1"/>
  <c r="I27" i="35" s="1"/>
  <c r="H30" i="39"/>
  <c r="I26" i="39" s="1"/>
  <c r="I28" i="39" s="1"/>
  <c r="E29" i="38"/>
  <c r="E31" i="38" s="1"/>
  <c r="E32" i="38" s="1"/>
  <c r="H22" i="37"/>
  <c r="H23" i="37" s="1"/>
  <c r="H24" i="37" s="1"/>
  <c r="E30" i="37"/>
  <c r="F26" i="37" s="1"/>
  <c r="F28" i="37" s="1"/>
  <c r="F29" i="37" s="1"/>
  <c r="F31" i="37" s="1"/>
  <c r="F32" i="37" s="1"/>
  <c r="H23" i="38"/>
  <c r="H24" i="38" s="1"/>
  <c r="H27" i="38" s="1"/>
  <c r="I29" i="39"/>
  <c r="I31" i="39" s="1"/>
  <c r="I32" i="39" s="1"/>
  <c r="H38" i="39"/>
  <c r="H39" i="39" s="1"/>
  <c r="H40" i="39" s="1"/>
  <c r="H41" i="39" s="1"/>
  <c r="H34" i="39"/>
  <c r="H35" i="39" s="1"/>
  <c r="H36" i="39" s="1"/>
  <c r="H37" i="39" s="1"/>
  <c r="K23" i="36"/>
  <c r="K24" i="36" s="1"/>
  <c r="F29" i="35"/>
  <c r="F31" i="35" s="1"/>
  <c r="F32" i="35" s="1"/>
  <c r="F29" i="36"/>
  <c r="F31" i="36" s="1"/>
  <c r="F32" i="36" s="1"/>
  <c r="G27" i="37"/>
  <c r="E34" i="37"/>
  <c r="E35" i="37" s="1"/>
  <c r="E36" i="37" s="1"/>
  <c r="E37" i="37" s="1"/>
  <c r="E38" i="37"/>
  <c r="E39" i="37" s="1"/>
  <c r="E40" i="37" s="1"/>
  <c r="E41" i="37" s="1"/>
  <c r="E29" i="32"/>
  <c r="E31" i="32" s="1"/>
  <c r="E32" i="32" s="1"/>
  <c r="E28" i="22"/>
  <c r="E29" i="22" s="1"/>
  <c r="E31" i="22" s="1"/>
  <c r="E32" i="22" s="1"/>
  <c r="E34" i="22" s="1"/>
  <c r="E35" i="22" s="1"/>
  <c r="E36" i="22" s="1"/>
  <c r="E30" i="34"/>
  <c r="E32" i="34" s="1"/>
  <c r="E33" i="34" s="1"/>
  <c r="G27" i="32"/>
  <c r="H22" i="32"/>
  <c r="I23" i="34"/>
  <c r="H28" i="34"/>
  <c r="H27" i="22"/>
  <c r="I22" i="22"/>
  <c r="I23" i="22" s="1"/>
  <c r="I24" i="22" s="1"/>
  <c r="D32" i="22"/>
  <c r="O8" i="22"/>
  <c r="P8" i="22" s="1"/>
  <c r="N9" i="22" s="1"/>
  <c r="E34" i="38" l="1"/>
  <c r="E35" i="38" s="1"/>
  <c r="E36" i="38" s="1"/>
  <c r="E37" i="38" s="1"/>
  <c r="E38" i="38"/>
  <c r="E39" i="38" s="1"/>
  <c r="E40" i="38" s="1"/>
  <c r="E41" i="38" s="1"/>
  <c r="E30" i="38"/>
  <c r="F26" i="38" s="1"/>
  <c r="F28" i="38" s="1"/>
  <c r="F29" i="38" s="1"/>
  <c r="F31" i="38" s="1"/>
  <c r="F32" i="38" s="1"/>
  <c r="F34" i="38" s="1"/>
  <c r="F35" i="38" s="1"/>
  <c r="F36" i="38" s="1"/>
  <c r="I22" i="38"/>
  <c r="I23" i="38" s="1"/>
  <c r="I24" i="38" s="1"/>
  <c r="I30" i="39"/>
  <c r="J26" i="39" s="1"/>
  <c r="J28" i="39" s="1"/>
  <c r="J29" i="39" s="1"/>
  <c r="J31" i="39" s="1"/>
  <c r="J32" i="39" s="1"/>
  <c r="F30" i="36"/>
  <c r="G26" i="36" s="1"/>
  <c r="G28" i="36" s="1"/>
  <c r="F38" i="36"/>
  <c r="F39" i="36" s="1"/>
  <c r="F40" i="36" s="1"/>
  <c r="F41" i="36" s="1"/>
  <c r="F34" i="36"/>
  <c r="F35" i="36" s="1"/>
  <c r="F36" i="36" s="1"/>
  <c r="F37" i="36" s="1"/>
  <c r="F34" i="35"/>
  <c r="F35" i="35" s="1"/>
  <c r="F36" i="35" s="1"/>
  <c r="F37" i="35" s="1"/>
  <c r="F38" i="35"/>
  <c r="F39" i="35" s="1"/>
  <c r="F40" i="35" s="1"/>
  <c r="F41" i="35" s="1"/>
  <c r="F30" i="35"/>
  <c r="G26" i="35" s="1"/>
  <c r="G28" i="35" s="1"/>
  <c r="I34" i="39"/>
  <c r="I35" i="39" s="1"/>
  <c r="I36" i="39" s="1"/>
  <c r="I37" i="39" s="1"/>
  <c r="I38" i="39"/>
  <c r="I39" i="39" s="1"/>
  <c r="I40" i="39" s="1"/>
  <c r="I41" i="39" s="1"/>
  <c r="F30" i="37"/>
  <c r="G26" i="37" s="1"/>
  <c r="G28" i="37" s="1"/>
  <c r="J22" i="35"/>
  <c r="F38" i="37"/>
  <c r="F39" i="37" s="1"/>
  <c r="F40" i="37" s="1"/>
  <c r="F41" i="37" s="1"/>
  <c r="F34" i="37"/>
  <c r="F35" i="37" s="1"/>
  <c r="F36" i="37" s="1"/>
  <c r="F37" i="37" s="1"/>
  <c r="I22" i="37"/>
  <c r="L22" i="36"/>
  <c r="L23" i="36" s="1"/>
  <c r="L24" i="36" s="1"/>
  <c r="H27" i="37"/>
  <c r="K27" i="36"/>
  <c r="E38" i="32"/>
  <c r="E39" i="32" s="1"/>
  <c r="E40" i="32" s="1"/>
  <c r="E41" i="32" s="1"/>
  <c r="E34" i="32"/>
  <c r="E35" i="32" s="1"/>
  <c r="E36" i="32" s="1"/>
  <c r="E37" i="32" s="1"/>
  <c r="E30" i="32"/>
  <c r="F26" i="32" s="1"/>
  <c r="F28" i="32" s="1"/>
  <c r="E38" i="22"/>
  <c r="E39" i="22" s="1"/>
  <c r="E40" i="22" s="1"/>
  <c r="E30" i="22"/>
  <c r="F26" i="22" s="1"/>
  <c r="F28" i="22" s="1"/>
  <c r="F29" i="22" s="1"/>
  <c r="F31" i="22" s="1"/>
  <c r="F32" i="22" s="1"/>
  <c r="E39" i="34"/>
  <c r="E40" i="34" s="1"/>
  <c r="E41" i="34" s="1"/>
  <c r="E42" i="34" s="1"/>
  <c r="E35" i="34"/>
  <c r="E36" i="34" s="1"/>
  <c r="E37" i="34" s="1"/>
  <c r="E38" i="34" s="1"/>
  <c r="E31" i="34"/>
  <c r="F27" i="34" s="1"/>
  <c r="F29" i="34" s="1"/>
  <c r="D34" i="22"/>
  <c r="D35" i="22" s="1"/>
  <c r="D38" i="22"/>
  <c r="D39" i="22" s="1"/>
  <c r="D40" i="22" s="1"/>
  <c r="D41" i="22" s="1"/>
  <c r="I24" i="34"/>
  <c r="I25" i="34" s="1"/>
  <c r="H23" i="32"/>
  <c r="H24" i="32" s="1"/>
  <c r="I27" i="22"/>
  <c r="J22" i="22"/>
  <c r="O9" i="22"/>
  <c r="P9" i="22" s="1"/>
  <c r="N10" i="22" s="1"/>
  <c r="G29" i="37" l="1"/>
  <c r="G31" i="37" s="1"/>
  <c r="G32" i="37" s="1"/>
  <c r="F37" i="38"/>
  <c r="F38" i="38"/>
  <c r="F39" i="38" s="1"/>
  <c r="F40" i="38" s="1"/>
  <c r="F41" i="38" s="1"/>
  <c r="F30" i="38"/>
  <c r="G26" i="38" s="1"/>
  <c r="G28" i="38" s="1"/>
  <c r="G29" i="38" s="1"/>
  <c r="G31" i="38" s="1"/>
  <c r="G32" i="38" s="1"/>
  <c r="G38" i="38" s="1"/>
  <c r="G39" i="38" s="1"/>
  <c r="G40" i="38" s="1"/>
  <c r="J22" i="38"/>
  <c r="J23" i="38" s="1"/>
  <c r="J24" i="38" s="1"/>
  <c r="L27" i="36"/>
  <c r="J30" i="39"/>
  <c r="K26" i="39" s="1"/>
  <c r="K28" i="39" s="1"/>
  <c r="J38" i="39"/>
  <c r="J39" i="39" s="1"/>
  <c r="J40" i="39" s="1"/>
  <c r="J41" i="39" s="1"/>
  <c r="J34" i="39"/>
  <c r="J35" i="39" s="1"/>
  <c r="J36" i="39" s="1"/>
  <c r="J37" i="39" s="1"/>
  <c r="G29" i="36"/>
  <c r="G31" i="36" s="1"/>
  <c r="G32" i="36" s="1"/>
  <c r="I27" i="38"/>
  <c r="G29" i="35"/>
  <c r="G31" i="35" s="1"/>
  <c r="G32" i="35" s="1"/>
  <c r="I23" i="37"/>
  <c r="I24" i="37" s="1"/>
  <c r="J23" i="35"/>
  <c r="J24" i="35" s="1"/>
  <c r="F29" i="32"/>
  <c r="F31" i="32" s="1"/>
  <c r="F32" i="32" s="1"/>
  <c r="E41" i="22"/>
  <c r="F34" i="22"/>
  <c r="F35" i="22" s="1"/>
  <c r="F36" i="22" s="1"/>
  <c r="F38" i="22"/>
  <c r="F39" i="22" s="1"/>
  <c r="F40" i="22" s="1"/>
  <c r="F30" i="22"/>
  <c r="G26" i="22" s="1"/>
  <c r="G28" i="22" s="1"/>
  <c r="F30" i="34"/>
  <c r="F32" i="34" s="1"/>
  <c r="F33" i="34" s="1"/>
  <c r="I22" i="32"/>
  <c r="I23" i="32" s="1"/>
  <c r="I24" i="32" s="1"/>
  <c r="J23" i="34"/>
  <c r="I28" i="34"/>
  <c r="H27" i="32"/>
  <c r="D36" i="22"/>
  <c r="D37" i="22" s="1"/>
  <c r="E37" i="22" s="1"/>
  <c r="J23" i="22"/>
  <c r="J24" i="22" s="1"/>
  <c r="O10" i="22"/>
  <c r="G30" i="37" l="1"/>
  <c r="H26" i="37" s="1"/>
  <c r="H28" i="37" s="1"/>
  <c r="H29" i="37" s="1"/>
  <c r="H31" i="37" s="1"/>
  <c r="H32" i="37" s="1"/>
  <c r="G38" i="37"/>
  <c r="G39" i="37" s="1"/>
  <c r="G40" i="37" s="1"/>
  <c r="G41" i="37" s="1"/>
  <c r="G34" i="37"/>
  <c r="G35" i="37" s="1"/>
  <c r="G36" i="37" s="1"/>
  <c r="G37" i="37" s="1"/>
  <c r="G41" i="38"/>
  <c r="G30" i="38"/>
  <c r="H26" i="38" s="1"/>
  <c r="H28" i="38" s="1"/>
  <c r="H29" i="38" s="1"/>
  <c r="H31" i="38" s="1"/>
  <c r="H32" i="38" s="1"/>
  <c r="H38" i="38" s="1"/>
  <c r="H39" i="38" s="1"/>
  <c r="H40" i="38" s="1"/>
  <c r="G34" i="38"/>
  <c r="G35" i="38" s="1"/>
  <c r="G36" i="38" s="1"/>
  <c r="G37" i="38" s="1"/>
  <c r="K22" i="38"/>
  <c r="K23" i="38" s="1"/>
  <c r="K24" i="38" s="1"/>
  <c r="J22" i="37"/>
  <c r="J23" i="37" s="1"/>
  <c r="J24" i="37" s="1"/>
  <c r="J27" i="37" s="1"/>
  <c r="G30" i="36"/>
  <c r="H26" i="36" s="1"/>
  <c r="H28" i="36" s="1"/>
  <c r="H29" i="36" s="1"/>
  <c r="H31" i="36" s="1"/>
  <c r="H32" i="36" s="1"/>
  <c r="K22" i="35"/>
  <c r="G30" i="35"/>
  <c r="H26" i="35" s="1"/>
  <c r="H28" i="35" s="1"/>
  <c r="J27" i="35"/>
  <c r="G34" i="35"/>
  <c r="G35" i="35" s="1"/>
  <c r="G36" i="35" s="1"/>
  <c r="G37" i="35" s="1"/>
  <c r="G38" i="35"/>
  <c r="G39" i="35" s="1"/>
  <c r="G40" i="35" s="1"/>
  <c r="G41" i="35" s="1"/>
  <c r="G38" i="36"/>
  <c r="G39" i="36" s="1"/>
  <c r="G40" i="36" s="1"/>
  <c r="G41" i="36" s="1"/>
  <c r="G34" i="36"/>
  <c r="G35" i="36" s="1"/>
  <c r="G36" i="36" s="1"/>
  <c r="G37" i="36" s="1"/>
  <c r="K29" i="39"/>
  <c r="K31" i="39" s="1"/>
  <c r="K32" i="39" s="1"/>
  <c r="I27" i="37"/>
  <c r="J27" i="38"/>
  <c r="F30" i="32"/>
  <c r="G26" i="32" s="1"/>
  <c r="G28" i="32" s="1"/>
  <c r="G29" i="32" s="1"/>
  <c r="G31" i="32" s="1"/>
  <c r="G32" i="32" s="1"/>
  <c r="F38" i="32"/>
  <c r="F39" i="32" s="1"/>
  <c r="F40" i="32" s="1"/>
  <c r="F41" i="32" s="1"/>
  <c r="F34" i="32"/>
  <c r="F35" i="32" s="1"/>
  <c r="F36" i="32" s="1"/>
  <c r="F37" i="32" s="1"/>
  <c r="F41" i="22"/>
  <c r="F37" i="22"/>
  <c r="G29" i="22"/>
  <c r="G31" i="22" s="1"/>
  <c r="G32" i="22" s="1"/>
  <c r="F39" i="34"/>
  <c r="F40" i="34" s="1"/>
  <c r="F41" i="34" s="1"/>
  <c r="F42" i="34" s="1"/>
  <c r="F35" i="34"/>
  <c r="F36" i="34" s="1"/>
  <c r="F37" i="34" s="1"/>
  <c r="F38" i="34" s="1"/>
  <c r="F31" i="34"/>
  <c r="G27" i="34" s="1"/>
  <c r="G29" i="34" s="1"/>
  <c r="I27" i="32"/>
  <c r="J24" i="34"/>
  <c r="J25" i="34" s="1"/>
  <c r="J28" i="34" s="1"/>
  <c r="J22" i="32"/>
  <c r="J27" i="22"/>
  <c r="K22" i="22"/>
  <c r="P10" i="22"/>
  <c r="N11" i="22" s="1"/>
  <c r="H30" i="37" l="1"/>
  <c r="I26" i="37" s="1"/>
  <c r="I28" i="37" s="1"/>
  <c r="H38" i="37"/>
  <c r="H39" i="37" s="1"/>
  <c r="H40" i="37" s="1"/>
  <c r="H41" i="37" s="1"/>
  <c r="H34" i="37"/>
  <c r="H35" i="37" s="1"/>
  <c r="H36" i="37" s="1"/>
  <c r="H37" i="37" s="1"/>
  <c r="H41" i="38"/>
  <c r="H34" i="38"/>
  <c r="H35" i="38" s="1"/>
  <c r="H36" i="38" s="1"/>
  <c r="H37" i="38" s="1"/>
  <c r="H30" i="38"/>
  <c r="I26" i="38" s="1"/>
  <c r="I28" i="38" s="1"/>
  <c r="I29" i="38" s="1"/>
  <c r="I31" i="38" s="1"/>
  <c r="I32" i="38" s="1"/>
  <c r="I34" i="38" s="1"/>
  <c r="I35" i="38" s="1"/>
  <c r="I36" i="38" s="1"/>
  <c r="K22" i="37"/>
  <c r="K23" i="37" s="1"/>
  <c r="K24" i="37" s="1"/>
  <c r="K30" i="39"/>
  <c r="L26" i="39" s="1"/>
  <c r="L28" i="39" s="1"/>
  <c r="L29" i="39" s="1"/>
  <c r="L31" i="39" s="1"/>
  <c r="L32" i="39" s="1"/>
  <c r="K38" i="39"/>
  <c r="K39" i="39" s="1"/>
  <c r="K40" i="39" s="1"/>
  <c r="K41" i="39" s="1"/>
  <c r="K34" i="39"/>
  <c r="K35" i="39" s="1"/>
  <c r="K36" i="39" s="1"/>
  <c r="K37" i="39" s="1"/>
  <c r="L22" i="38"/>
  <c r="L23" i="38" s="1"/>
  <c r="L24" i="38" s="1"/>
  <c r="L27" i="38" s="1"/>
  <c r="K27" i="38"/>
  <c r="H38" i="36"/>
  <c r="H39" i="36" s="1"/>
  <c r="H40" i="36" s="1"/>
  <c r="H41" i="36" s="1"/>
  <c r="H34" i="36"/>
  <c r="H35" i="36" s="1"/>
  <c r="H36" i="36" s="1"/>
  <c r="H37" i="36" s="1"/>
  <c r="H29" i="35"/>
  <c r="H31" i="35" s="1"/>
  <c r="H32" i="35" s="1"/>
  <c r="H30" i="36"/>
  <c r="I26" i="36" s="1"/>
  <c r="I28" i="36" s="1"/>
  <c r="K23" i="35"/>
  <c r="K24" i="35" s="1"/>
  <c r="K23" i="22"/>
  <c r="K24" i="22" s="1"/>
  <c r="K27" i="22" s="1"/>
  <c r="G30" i="32"/>
  <c r="H26" i="32" s="1"/>
  <c r="H28" i="32" s="1"/>
  <c r="G34" i="32"/>
  <c r="G35" i="32" s="1"/>
  <c r="G36" i="32" s="1"/>
  <c r="G37" i="32" s="1"/>
  <c r="G38" i="32"/>
  <c r="G39" i="32" s="1"/>
  <c r="G40" i="32" s="1"/>
  <c r="G41" i="32" s="1"/>
  <c r="G30" i="22"/>
  <c r="H26" i="22" s="1"/>
  <c r="H28" i="22" s="1"/>
  <c r="G34" i="22"/>
  <c r="G35" i="22" s="1"/>
  <c r="G36" i="22" s="1"/>
  <c r="G37" i="22" s="1"/>
  <c r="G38" i="22"/>
  <c r="G39" i="22" s="1"/>
  <c r="G40" i="22" s="1"/>
  <c r="G41" i="22" s="1"/>
  <c r="G30" i="34"/>
  <c r="G32" i="34" s="1"/>
  <c r="G33" i="34" s="1"/>
  <c r="J23" i="32"/>
  <c r="J24" i="32" s="1"/>
  <c r="J27" i="32" s="1"/>
  <c r="K23" i="34"/>
  <c r="O11" i="22"/>
  <c r="P11" i="22" s="1"/>
  <c r="AS12" i="22" s="1"/>
  <c r="AT12" i="22" l="1"/>
  <c r="AU12" i="22" s="1"/>
  <c r="AS13" i="22" s="1"/>
  <c r="I29" i="37"/>
  <c r="I31" i="37" s="1"/>
  <c r="I32" i="37" s="1"/>
  <c r="L22" i="35"/>
  <c r="L23" i="35" s="1"/>
  <c r="L24" i="35" s="1"/>
  <c r="L27" i="35" s="1"/>
  <c r="L30" i="39"/>
  <c r="M26" i="39" s="1"/>
  <c r="M28" i="39" s="1"/>
  <c r="M29" i="39" s="1"/>
  <c r="M31" i="39" s="1"/>
  <c r="M32" i="39" s="1"/>
  <c r="I38" i="38"/>
  <c r="I39" i="38" s="1"/>
  <c r="I40" i="38" s="1"/>
  <c r="I41" i="38" s="1"/>
  <c r="I30" i="38"/>
  <c r="J26" i="38" s="1"/>
  <c r="J28" i="38" s="1"/>
  <c r="J29" i="38" s="1"/>
  <c r="J31" i="38" s="1"/>
  <c r="J32" i="38" s="1"/>
  <c r="I37" i="38"/>
  <c r="H30" i="35"/>
  <c r="I26" i="35" s="1"/>
  <c r="I28" i="35" s="1"/>
  <c r="I29" i="35" s="1"/>
  <c r="I31" i="35" s="1"/>
  <c r="I32" i="35" s="1"/>
  <c r="L22" i="37"/>
  <c r="L23" i="37" s="1"/>
  <c r="L24" i="37" s="1"/>
  <c r="L27" i="37" s="1"/>
  <c r="H38" i="35"/>
  <c r="H39" i="35" s="1"/>
  <c r="H40" i="35" s="1"/>
  <c r="H41" i="35" s="1"/>
  <c r="H34" i="35"/>
  <c r="H35" i="35" s="1"/>
  <c r="H36" i="35" s="1"/>
  <c r="H37" i="35" s="1"/>
  <c r="I29" i="36"/>
  <c r="I31" i="36" s="1"/>
  <c r="I32" i="36" s="1"/>
  <c r="K27" i="37"/>
  <c r="K27" i="35"/>
  <c r="L34" i="39"/>
  <c r="L35" i="39" s="1"/>
  <c r="L36" i="39" s="1"/>
  <c r="L37" i="39" s="1"/>
  <c r="L38" i="39"/>
  <c r="L39" i="39" s="1"/>
  <c r="L40" i="39" s="1"/>
  <c r="L41" i="39" s="1"/>
  <c r="L22" i="22"/>
  <c r="H29" i="32"/>
  <c r="H31" i="32" s="1"/>
  <c r="H32" i="32" s="1"/>
  <c r="H29" i="22"/>
  <c r="H31" i="22" s="1"/>
  <c r="H32" i="22" s="1"/>
  <c r="G39" i="34"/>
  <c r="G40" i="34" s="1"/>
  <c r="G41" i="34" s="1"/>
  <c r="G42" i="34" s="1"/>
  <c r="G35" i="34"/>
  <c r="G36" i="34" s="1"/>
  <c r="G37" i="34" s="1"/>
  <c r="G38" i="34" s="1"/>
  <c r="G31" i="34"/>
  <c r="H27" i="34" s="1"/>
  <c r="H29" i="34" s="1"/>
  <c r="K22" i="32"/>
  <c r="K23" i="32" s="1"/>
  <c r="K24" i="32" s="1"/>
  <c r="K24" i="34"/>
  <c r="K25" i="34" s="1"/>
  <c r="AT13" i="22" l="1"/>
  <c r="AU13" i="22" s="1"/>
  <c r="AS14" i="22" s="1"/>
  <c r="AT14" i="22" s="1"/>
  <c r="AU14" i="22" s="1"/>
  <c r="AS15" i="22" s="1"/>
  <c r="L23" i="22"/>
  <c r="L24" i="22" s="1"/>
  <c r="L27" i="22" s="1"/>
  <c r="I38" i="37"/>
  <c r="I39" i="37" s="1"/>
  <c r="I40" i="37" s="1"/>
  <c r="I41" i="37" s="1"/>
  <c r="I34" i="37"/>
  <c r="I35" i="37" s="1"/>
  <c r="I36" i="37" s="1"/>
  <c r="I37" i="37" s="1"/>
  <c r="I30" i="37"/>
  <c r="J26" i="37" s="1"/>
  <c r="J28" i="37" s="1"/>
  <c r="J29" i="37" s="1"/>
  <c r="J31" i="37" s="1"/>
  <c r="J32" i="37" s="1"/>
  <c r="J38" i="37" s="1"/>
  <c r="J39" i="37" s="1"/>
  <c r="J40" i="37" s="1"/>
  <c r="J41" i="37" s="1"/>
  <c r="I30" i="35"/>
  <c r="J26" i="35" s="1"/>
  <c r="J28" i="35" s="1"/>
  <c r="J29" i="35" s="1"/>
  <c r="J31" i="35" s="1"/>
  <c r="J32" i="35" s="1"/>
  <c r="J38" i="38"/>
  <c r="J39" i="38" s="1"/>
  <c r="J40" i="38" s="1"/>
  <c r="J41" i="38" s="1"/>
  <c r="J34" i="38"/>
  <c r="J35" i="38" s="1"/>
  <c r="J36" i="38" s="1"/>
  <c r="J37" i="38" s="1"/>
  <c r="M30" i="39"/>
  <c r="N26" i="39" s="1"/>
  <c r="N28" i="39" s="1"/>
  <c r="I34" i="36"/>
  <c r="I35" i="36" s="1"/>
  <c r="I36" i="36" s="1"/>
  <c r="I37" i="36" s="1"/>
  <c r="I38" i="36"/>
  <c r="I39" i="36" s="1"/>
  <c r="I40" i="36" s="1"/>
  <c r="I41" i="36" s="1"/>
  <c r="J30" i="38"/>
  <c r="K26" i="38" s="1"/>
  <c r="K28" i="38" s="1"/>
  <c r="I30" i="36"/>
  <c r="J26" i="36" s="1"/>
  <c r="J28" i="36" s="1"/>
  <c r="M34" i="39"/>
  <c r="M35" i="39" s="1"/>
  <c r="M36" i="39" s="1"/>
  <c r="M37" i="39" s="1"/>
  <c r="M38" i="39"/>
  <c r="M39" i="39" s="1"/>
  <c r="M40" i="39" s="1"/>
  <c r="M41" i="39" s="1"/>
  <c r="I38" i="35"/>
  <c r="I39" i="35" s="1"/>
  <c r="I40" i="35" s="1"/>
  <c r="I41" i="35" s="1"/>
  <c r="I34" i="35"/>
  <c r="I35" i="35" s="1"/>
  <c r="I36" i="35" s="1"/>
  <c r="I37" i="35" s="1"/>
  <c r="H30" i="32"/>
  <c r="I26" i="32" s="1"/>
  <c r="I28" i="32" s="1"/>
  <c r="I29" i="32" s="1"/>
  <c r="I31" i="32" s="1"/>
  <c r="I32" i="32" s="1"/>
  <c r="H38" i="32"/>
  <c r="H39" i="32" s="1"/>
  <c r="H40" i="32" s="1"/>
  <c r="H41" i="32" s="1"/>
  <c r="H34" i="32"/>
  <c r="H35" i="32" s="1"/>
  <c r="H36" i="32" s="1"/>
  <c r="H37" i="32" s="1"/>
  <c r="H30" i="22"/>
  <c r="I26" i="22" s="1"/>
  <c r="I28" i="22" s="1"/>
  <c r="H34" i="22"/>
  <c r="H35" i="22" s="1"/>
  <c r="H36" i="22" s="1"/>
  <c r="H37" i="22" s="1"/>
  <c r="H38" i="22"/>
  <c r="H39" i="22" s="1"/>
  <c r="H40" i="22" s="1"/>
  <c r="H41" i="22" s="1"/>
  <c r="H30" i="34"/>
  <c r="H32" i="34" s="1"/>
  <c r="H33" i="34" s="1"/>
  <c r="L22" i="32"/>
  <c r="L23" i="32" s="1"/>
  <c r="L24" i="32" s="1"/>
  <c r="L27" i="32" s="1"/>
  <c r="L23" i="34"/>
  <c r="L24" i="34" s="1"/>
  <c r="L25" i="34" s="1"/>
  <c r="L28" i="34" s="1"/>
  <c r="K27" i="32"/>
  <c r="K28" i="34"/>
  <c r="J30" i="37" l="1"/>
  <c r="K26" i="37" s="1"/>
  <c r="K28" i="37" s="1"/>
  <c r="K29" i="37" s="1"/>
  <c r="K31" i="37" s="1"/>
  <c r="K32" i="37" s="1"/>
  <c r="K38" i="37" s="1"/>
  <c r="K39" i="37" s="1"/>
  <c r="K40" i="37" s="1"/>
  <c r="K41" i="37" s="1"/>
  <c r="AT15" i="22"/>
  <c r="AU15" i="22" s="1"/>
  <c r="AS16" i="22" s="1"/>
  <c r="AT16" i="22" s="1"/>
  <c r="AU16" i="22" s="1"/>
  <c r="AS17" i="22" s="1"/>
  <c r="AT17" i="22" s="1"/>
  <c r="AU17" i="22" s="1"/>
  <c r="AS18" i="22" s="1"/>
  <c r="J34" i="37"/>
  <c r="J35" i="37" s="1"/>
  <c r="J36" i="37" s="1"/>
  <c r="J37" i="37" s="1"/>
  <c r="J38" i="35"/>
  <c r="J39" i="35" s="1"/>
  <c r="J40" i="35" s="1"/>
  <c r="J41" i="35" s="1"/>
  <c r="J34" i="35"/>
  <c r="J35" i="35" s="1"/>
  <c r="J36" i="35" s="1"/>
  <c r="J37" i="35" s="1"/>
  <c r="J30" i="35"/>
  <c r="K26" i="35" s="1"/>
  <c r="K28" i="35" s="1"/>
  <c r="N29" i="39"/>
  <c r="N31" i="39" s="1"/>
  <c r="N32" i="39" s="1"/>
  <c r="K29" i="38"/>
  <c r="K31" i="38" s="1"/>
  <c r="K32" i="38" s="1"/>
  <c r="J29" i="36"/>
  <c r="J31" i="36" s="1"/>
  <c r="J32" i="36" s="1"/>
  <c r="I38" i="32"/>
  <c r="I39" i="32" s="1"/>
  <c r="I40" i="32" s="1"/>
  <c r="I41" i="32" s="1"/>
  <c r="I34" i="32"/>
  <c r="I35" i="32" s="1"/>
  <c r="I36" i="32" s="1"/>
  <c r="I37" i="32" s="1"/>
  <c r="I30" i="32"/>
  <c r="J26" i="32" s="1"/>
  <c r="J28" i="32" s="1"/>
  <c r="J29" i="32" s="1"/>
  <c r="J31" i="32" s="1"/>
  <c r="J32" i="32" s="1"/>
  <c r="J34" i="32" s="1"/>
  <c r="J35" i="32" s="1"/>
  <c r="J36" i="32" s="1"/>
  <c r="I29" i="22"/>
  <c r="I31" i="22" s="1"/>
  <c r="I32" i="22" s="1"/>
  <c r="H31" i="34"/>
  <c r="I27" i="34" s="1"/>
  <c r="I29" i="34" s="1"/>
  <c r="I30" i="34" s="1"/>
  <c r="I32" i="34" s="1"/>
  <c r="I33" i="34" s="1"/>
  <c r="H39" i="34"/>
  <c r="H40" i="34" s="1"/>
  <c r="H41" i="34" s="1"/>
  <c r="H42" i="34" s="1"/>
  <c r="H35" i="34"/>
  <c r="H36" i="34" s="1"/>
  <c r="H37" i="34" s="1"/>
  <c r="H38" i="34" s="1"/>
  <c r="K34" i="37" l="1"/>
  <c r="K35" i="37" s="1"/>
  <c r="K36" i="37" s="1"/>
  <c r="K37" i="37" s="1"/>
  <c r="K30" i="37"/>
  <c r="L26" i="37" s="1"/>
  <c r="L28" i="37" s="1"/>
  <c r="L29" i="37" s="1"/>
  <c r="L31" i="37" s="1"/>
  <c r="L32" i="37" s="1"/>
  <c r="N24" i="22"/>
  <c r="N27" i="22" s="1"/>
  <c r="M24" i="22"/>
  <c r="M27" i="22" s="1"/>
  <c r="AT18" i="22"/>
  <c r="AU18" i="22" s="1"/>
  <c r="AS19" i="22" s="1"/>
  <c r="K30" i="38"/>
  <c r="L26" i="38" s="1"/>
  <c r="L28" i="38" s="1"/>
  <c r="L29" i="38" s="1"/>
  <c r="L31" i="38" s="1"/>
  <c r="L32" i="38" s="1"/>
  <c r="N30" i="39"/>
  <c r="O26" i="39" s="1"/>
  <c r="O28" i="39" s="1"/>
  <c r="O29" i="39" s="1"/>
  <c r="O31" i="39" s="1"/>
  <c r="O32" i="39" s="1"/>
  <c r="L30" i="37"/>
  <c r="M26" i="37" s="1"/>
  <c r="M28" i="37" s="1"/>
  <c r="J30" i="36"/>
  <c r="K26" i="36" s="1"/>
  <c r="K28" i="36" s="1"/>
  <c r="N38" i="39"/>
  <c r="N39" i="39" s="1"/>
  <c r="N40" i="39" s="1"/>
  <c r="N41" i="39" s="1"/>
  <c r="N34" i="39"/>
  <c r="N35" i="39" s="1"/>
  <c r="N36" i="39" s="1"/>
  <c r="N37" i="39" s="1"/>
  <c r="J34" i="36"/>
  <c r="J35" i="36" s="1"/>
  <c r="J36" i="36" s="1"/>
  <c r="J37" i="36" s="1"/>
  <c r="J38" i="36"/>
  <c r="J39" i="36" s="1"/>
  <c r="J40" i="36" s="1"/>
  <c r="J41" i="36" s="1"/>
  <c r="L34" i="37"/>
  <c r="L35" i="37" s="1"/>
  <c r="L36" i="37" s="1"/>
  <c r="L38" i="37"/>
  <c r="L39" i="37" s="1"/>
  <c r="L40" i="37" s="1"/>
  <c r="L41" i="37" s="1"/>
  <c r="K29" i="35"/>
  <c r="K31" i="35" s="1"/>
  <c r="K32" i="35" s="1"/>
  <c r="K34" i="38"/>
  <c r="K35" i="38" s="1"/>
  <c r="K36" i="38" s="1"/>
  <c r="K37" i="38" s="1"/>
  <c r="K38" i="38"/>
  <c r="K39" i="38" s="1"/>
  <c r="K40" i="38" s="1"/>
  <c r="K41" i="38" s="1"/>
  <c r="J37" i="32"/>
  <c r="J30" i="32"/>
  <c r="K26" i="32" s="1"/>
  <c r="K28" i="32" s="1"/>
  <c r="K29" i="32" s="1"/>
  <c r="K31" i="32" s="1"/>
  <c r="K32" i="32" s="1"/>
  <c r="J38" i="32"/>
  <c r="J39" i="32" s="1"/>
  <c r="J40" i="32" s="1"/>
  <c r="J41" i="32" s="1"/>
  <c r="I34" i="22"/>
  <c r="I35" i="22" s="1"/>
  <c r="I36" i="22" s="1"/>
  <c r="I37" i="22" s="1"/>
  <c r="I38" i="22"/>
  <c r="I39" i="22" s="1"/>
  <c r="I40" i="22" s="1"/>
  <c r="I41" i="22" s="1"/>
  <c r="I30" i="22"/>
  <c r="J26" i="22" s="1"/>
  <c r="J28" i="22" s="1"/>
  <c r="I31" i="34"/>
  <c r="J27" i="34" s="1"/>
  <c r="J29" i="34" s="1"/>
  <c r="I35" i="34"/>
  <c r="I36" i="34" s="1"/>
  <c r="I37" i="34" s="1"/>
  <c r="I38" i="34" s="1"/>
  <c r="I39" i="34"/>
  <c r="I40" i="34" s="1"/>
  <c r="I41" i="34" s="1"/>
  <c r="I42" i="34" s="1"/>
  <c r="L37" i="37" l="1"/>
  <c r="AT19" i="22"/>
  <c r="AU19" i="22" s="1"/>
  <c r="AS20" i="22" s="1"/>
  <c r="AT20" i="22" s="1"/>
  <c r="AU20" i="22" s="1"/>
  <c r="AS21" i="22" s="1"/>
  <c r="AT21" i="22" s="1"/>
  <c r="AU21" i="22" s="1"/>
  <c r="AS22" i="22" s="1"/>
  <c r="AT22" i="22" s="1"/>
  <c r="AU22" i="22" s="1"/>
  <c r="AS23" i="22" s="1"/>
  <c r="AT23" i="22" s="1"/>
  <c r="AU23" i="22" s="1"/>
  <c r="AS24" i="22" s="1"/>
  <c r="L30" i="38"/>
  <c r="M26" i="38" s="1"/>
  <c r="M28" i="38" s="1"/>
  <c r="M29" i="38" s="1"/>
  <c r="M31" i="38" s="1"/>
  <c r="M32" i="38" s="1"/>
  <c r="K30" i="35"/>
  <c r="L26" i="35" s="1"/>
  <c r="L28" i="35" s="1"/>
  <c r="L29" i="35" s="1"/>
  <c r="L31" i="35" s="1"/>
  <c r="L32" i="35" s="1"/>
  <c r="O30" i="39"/>
  <c r="P26" i="39" s="1"/>
  <c r="P28" i="39" s="1"/>
  <c r="L34" i="38"/>
  <c r="L35" i="38" s="1"/>
  <c r="L36" i="38" s="1"/>
  <c r="L37" i="38" s="1"/>
  <c r="L38" i="38"/>
  <c r="L39" i="38" s="1"/>
  <c r="L40" i="38" s="1"/>
  <c r="L41" i="38" s="1"/>
  <c r="K38" i="35"/>
  <c r="K39" i="35" s="1"/>
  <c r="K40" i="35" s="1"/>
  <c r="K41" i="35" s="1"/>
  <c r="K34" i="35"/>
  <c r="K35" i="35" s="1"/>
  <c r="K36" i="35" s="1"/>
  <c r="K37" i="35" s="1"/>
  <c r="O38" i="39"/>
  <c r="O39" i="39" s="1"/>
  <c r="O40" i="39" s="1"/>
  <c r="O41" i="39" s="1"/>
  <c r="O34" i="39"/>
  <c r="O35" i="39" s="1"/>
  <c r="O36" i="39" s="1"/>
  <c r="O37" i="39" s="1"/>
  <c r="K29" i="36"/>
  <c r="K31" i="36" s="1"/>
  <c r="K32" i="36" s="1"/>
  <c r="M29" i="37"/>
  <c r="M31" i="37" s="1"/>
  <c r="M32" i="37" s="1"/>
  <c r="J29" i="22"/>
  <c r="J31" i="22" s="1"/>
  <c r="J32" i="22" s="1"/>
  <c r="J30" i="34"/>
  <c r="J32" i="34" s="1"/>
  <c r="J33" i="34" s="1"/>
  <c r="K38" i="32"/>
  <c r="K39" i="32" s="1"/>
  <c r="K40" i="32" s="1"/>
  <c r="K41" i="32" s="1"/>
  <c r="K34" i="32"/>
  <c r="K35" i="32" s="1"/>
  <c r="K36" i="32" s="1"/>
  <c r="K37" i="32" s="1"/>
  <c r="K30" i="32"/>
  <c r="L26" i="32" s="1"/>
  <c r="L28" i="32" s="1"/>
  <c r="O24" i="22" l="1"/>
  <c r="O27" i="22" s="1"/>
  <c r="AT24" i="22"/>
  <c r="AU24" i="22" s="1"/>
  <c r="AS25" i="22" s="1"/>
  <c r="K38" i="36"/>
  <c r="K39" i="36" s="1"/>
  <c r="K40" i="36" s="1"/>
  <c r="K41" i="36" s="1"/>
  <c r="K34" i="36"/>
  <c r="K35" i="36" s="1"/>
  <c r="K36" i="36" s="1"/>
  <c r="K37" i="36" s="1"/>
  <c r="K30" i="36"/>
  <c r="L26" i="36" s="1"/>
  <c r="L28" i="36" s="1"/>
  <c r="M34" i="37"/>
  <c r="M35" i="37" s="1"/>
  <c r="M36" i="37" s="1"/>
  <c r="M37" i="37" s="1"/>
  <c r="M38" i="37"/>
  <c r="M39" i="37" s="1"/>
  <c r="M40" i="37" s="1"/>
  <c r="M41" i="37" s="1"/>
  <c r="M38" i="38"/>
  <c r="M39" i="38" s="1"/>
  <c r="M40" i="38" s="1"/>
  <c r="M41" i="38" s="1"/>
  <c r="M34" i="38"/>
  <c r="M35" i="38" s="1"/>
  <c r="M36" i="38" s="1"/>
  <c r="M37" i="38" s="1"/>
  <c r="M30" i="37"/>
  <c r="N26" i="37" s="1"/>
  <c r="N28" i="37" s="1"/>
  <c r="L38" i="35"/>
  <c r="L39" i="35" s="1"/>
  <c r="L40" i="35" s="1"/>
  <c r="L41" i="35" s="1"/>
  <c r="L34" i="35"/>
  <c r="L35" i="35" s="1"/>
  <c r="L36" i="35" s="1"/>
  <c r="L37" i="35" s="1"/>
  <c r="L30" i="35"/>
  <c r="M26" i="35" s="1"/>
  <c r="M28" i="35" s="1"/>
  <c r="M30" i="38"/>
  <c r="N26" i="38" s="1"/>
  <c r="N28" i="38" s="1"/>
  <c r="P29" i="39"/>
  <c r="P31" i="39" s="1"/>
  <c r="P32" i="39" s="1"/>
  <c r="P24" i="22"/>
  <c r="P27" i="22" s="1"/>
  <c r="J30" i="22"/>
  <c r="K26" i="22" s="1"/>
  <c r="K28" i="22" s="1"/>
  <c r="J38" i="22"/>
  <c r="J39" i="22" s="1"/>
  <c r="J40" i="22" s="1"/>
  <c r="J41" i="22" s="1"/>
  <c r="J34" i="22"/>
  <c r="J35" i="22" s="1"/>
  <c r="J36" i="22" s="1"/>
  <c r="J37" i="22" s="1"/>
  <c r="J31" i="34"/>
  <c r="K27" i="34" s="1"/>
  <c r="K29" i="34" s="1"/>
  <c r="K30" i="34" s="1"/>
  <c r="K32" i="34" s="1"/>
  <c r="K33" i="34" s="1"/>
  <c r="J39" i="34"/>
  <c r="J40" i="34" s="1"/>
  <c r="J41" i="34" s="1"/>
  <c r="J42" i="34" s="1"/>
  <c r="J35" i="34"/>
  <c r="J36" i="34" s="1"/>
  <c r="J37" i="34" s="1"/>
  <c r="J38" i="34" s="1"/>
  <c r="L29" i="32"/>
  <c r="L31" i="32" s="1"/>
  <c r="L32" i="32" s="1"/>
  <c r="AT25" i="22" l="1"/>
  <c r="AU25" i="22" s="1"/>
  <c r="AS26" i="22" s="1"/>
  <c r="AT26" i="22" s="1"/>
  <c r="AU26" i="22" s="1"/>
  <c r="AS27" i="22" s="1"/>
  <c r="P34" i="39"/>
  <c r="P35" i="39" s="1"/>
  <c r="P36" i="39" s="1"/>
  <c r="P37" i="39" s="1"/>
  <c r="P38" i="39"/>
  <c r="P39" i="39" s="1"/>
  <c r="P40" i="39" s="1"/>
  <c r="P41" i="39" s="1"/>
  <c r="P30" i="39"/>
  <c r="Q26" i="39" s="1"/>
  <c r="Q28" i="39" s="1"/>
  <c r="N29" i="37"/>
  <c r="N31" i="37" s="1"/>
  <c r="N32" i="37" s="1"/>
  <c r="N29" i="38"/>
  <c r="N31" i="38" s="1"/>
  <c r="N32" i="38" s="1"/>
  <c r="M29" i="35"/>
  <c r="M31" i="35" s="1"/>
  <c r="M32" i="35" s="1"/>
  <c r="L29" i="36"/>
  <c r="L31" i="36" s="1"/>
  <c r="L32" i="36" s="1"/>
  <c r="Q24" i="22"/>
  <c r="Q27" i="22" s="1"/>
  <c r="K29" i="22"/>
  <c r="K31" i="22" s="1"/>
  <c r="K32" i="22" s="1"/>
  <c r="K31" i="34"/>
  <c r="L27" i="34" s="1"/>
  <c r="L29" i="34" s="1"/>
  <c r="K35" i="34"/>
  <c r="K36" i="34" s="1"/>
  <c r="K37" i="34" s="1"/>
  <c r="K38" i="34" s="1"/>
  <c r="K39" i="34"/>
  <c r="K40" i="34" s="1"/>
  <c r="K41" i="34" s="1"/>
  <c r="K42" i="34" s="1"/>
  <c r="L38" i="32"/>
  <c r="L39" i="32" s="1"/>
  <c r="L40" i="32" s="1"/>
  <c r="L41" i="32" s="1"/>
  <c r="L34" i="32"/>
  <c r="L35" i="32" s="1"/>
  <c r="L36" i="32" s="1"/>
  <c r="L37" i="32" s="1"/>
  <c r="L30" i="32"/>
  <c r="M26" i="32" s="1"/>
  <c r="M28" i="32" s="1"/>
  <c r="AT27" i="22" l="1"/>
  <c r="AU27" i="22" s="1"/>
  <c r="AS28" i="22" s="1"/>
  <c r="AT28" i="22" s="1"/>
  <c r="AU28" i="22" s="1"/>
  <c r="AS29" i="22" s="1"/>
  <c r="M30" i="35"/>
  <c r="N26" i="35" s="1"/>
  <c r="N28" i="35" s="1"/>
  <c r="N29" i="35" s="1"/>
  <c r="N31" i="35" s="1"/>
  <c r="N32" i="35" s="1"/>
  <c r="N34" i="38"/>
  <c r="N35" i="38" s="1"/>
  <c r="N36" i="38" s="1"/>
  <c r="N37" i="38" s="1"/>
  <c r="N38" i="38"/>
  <c r="N39" i="38" s="1"/>
  <c r="N40" i="38" s="1"/>
  <c r="N41" i="38" s="1"/>
  <c r="N30" i="38"/>
  <c r="O26" i="38" s="1"/>
  <c r="O28" i="38" s="1"/>
  <c r="N30" i="37"/>
  <c r="O26" i="37" s="1"/>
  <c r="O28" i="37" s="1"/>
  <c r="Q29" i="39"/>
  <c r="Q31" i="39" s="1"/>
  <c r="Q32" i="39" s="1"/>
  <c r="N38" i="37"/>
  <c r="N39" i="37" s="1"/>
  <c r="N40" i="37" s="1"/>
  <c r="N41" i="37" s="1"/>
  <c r="N34" i="37"/>
  <c r="N35" i="37" s="1"/>
  <c r="N36" i="37" s="1"/>
  <c r="N37" i="37" s="1"/>
  <c r="L30" i="36"/>
  <c r="M26" i="36" s="1"/>
  <c r="M28" i="36" s="1"/>
  <c r="L34" i="36"/>
  <c r="L35" i="36" s="1"/>
  <c r="L36" i="36" s="1"/>
  <c r="L37" i="36" s="1"/>
  <c r="L38" i="36"/>
  <c r="L39" i="36" s="1"/>
  <c r="L40" i="36" s="1"/>
  <c r="L41" i="36" s="1"/>
  <c r="M38" i="35"/>
  <c r="M39" i="35" s="1"/>
  <c r="M40" i="35" s="1"/>
  <c r="M41" i="35" s="1"/>
  <c r="M34" i="35"/>
  <c r="M35" i="35" s="1"/>
  <c r="M36" i="35" s="1"/>
  <c r="M37" i="35" s="1"/>
  <c r="K30" i="22"/>
  <c r="L26" i="22" s="1"/>
  <c r="L28" i="22" s="1"/>
  <c r="K38" i="22"/>
  <c r="K39" i="22" s="1"/>
  <c r="K40" i="22" s="1"/>
  <c r="K41" i="22" s="1"/>
  <c r="K34" i="22"/>
  <c r="K35" i="22" s="1"/>
  <c r="K36" i="22" s="1"/>
  <c r="K37" i="22" s="1"/>
  <c r="L30" i="34"/>
  <c r="L32" i="34" s="1"/>
  <c r="L33" i="34" s="1"/>
  <c r="M29" i="32"/>
  <c r="M31" i="32" s="1"/>
  <c r="M32" i="32" s="1"/>
  <c r="AT29" i="22" l="1"/>
  <c r="AU29" i="22" s="1"/>
  <c r="AS30" i="22" s="1"/>
  <c r="AT30" i="22" s="1"/>
  <c r="AU30" i="22" s="1"/>
  <c r="AS31" i="22" s="1"/>
  <c r="Q30" i="39"/>
  <c r="R26" i="39" s="1"/>
  <c r="R28" i="39" s="1"/>
  <c r="R29" i="39" s="1"/>
  <c r="R31" i="39" s="1"/>
  <c r="R32" i="39" s="1"/>
  <c r="M29" i="36"/>
  <c r="M31" i="36" s="1"/>
  <c r="M32" i="36" s="1"/>
  <c r="Q38" i="39"/>
  <c r="Q39" i="39" s="1"/>
  <c r="Q40" i="39" s="1"/>
  <c r="Q41" i="39" s="1"/>
  <c r="Q34" i="39"/>
  <c r="Q35" i="39" s="1"/>
  <c r="Q36" i="39" s="1"/>
  <c r="Q37" i="39" s="1"/>
  <c r="N38" i="35"/>
  <c r="N39" i="35" s="1"/>
  <c r="N40" i="35" s="1"/>
  <c r="N41" i="35" s="1"/>
  <c r="N34" i="35"/>
  <c r="N35" i="35" s="1"/>
  <c r="N36" i="35" s="1"/>
  <c r="N37" i="35" s="1"/>
  <c r="O29" i="38"/>
  <c r="O31" i="38" s="1"/>
  <c r="O32" i="38" s="1"/>
  <c r="O29" i="37"/>
  <c r="O31" i="37" s="1"/>
  <c r="O32" i="37" s="1"/>
  <c r="N30" i="35"/>
  <c r="O26" i="35" s="1"/>
  <c r="O28" i="35" s="1"/>
  <c r="R24" i="22"/>
  <c r="R27" i="22" s="1"/>
  <c r="L29" i="22"/>
  <c r="L31" i="22" s="1"/>
  <c r="L32" i="22" s="1"/>
  <c r="L31" i="34"/>
  <c r="M27" i="34" s="1"/>
  <c r="M29" i="34" s="1"/>
  <c r="M30" i="34" s="1"/>
  <c r="M32" i="34" s="1"/>
  <c r="M33" i="34" s="1"/>
  <c r="L39" i="34"/>
  <c r="L40" i="34" s="1"/>
  <c r="L41" i="34" s="1"/>
  <c r="L42" i="34" s="1"/>
  <c r="L35" i="34"/>
  <c r="L36" i="34" s="1"/>
  <c r="L37" i="34" s="1"/>
  <c r="L38" i="34" s="1"/>
  <c r="M38" i="32"/>
  <c r="M39" i="32" s="1"/>
  <c r="M40" i="32" s="1"/>
  <c r="M41" i="32" s="1"/>
  <c r="M34" i="32"/>
  <c r="M35" i="32" s="1"/>
  <c r="M36" i="32" s="1"/>
  <c r="M37" i="32" s="1"/>
  <c r="M30" i="32"/>
  <c r="N26" i="32" s="1"/>
  <c r="N28" i="32" s="1"/>
  <c r="AT31" i="22" l="1"/>
  <c r="AU31" i="22" s="1"/>
  <c r="R30" i="39"/>
  <c r="S26" i="39" s="1"/>
  <c r="S28" i="39" s="1"/>
  <c r="S29" i="39" s="1"/>
  <c r="S31" i="39" s="1"/>
  <c r="S32" i="39" s="1"/>
  <c r="R38" i="39"/>
  <c r="R39" i="39" s="1"/>
  <c r="R40" i="39" s="1"/>
  <c r="R41" i="39" s="1"/>
  <c r="R34" i="39"/>
  <c r="R35" i="39" s="1"/>
  <c r="R36" i="39" s="1"/>
  <c r="R37" i="39" s="1"/>
  <c r="O29" i="35"/>
  <c r="O31" i="35" s="1"/>
  <c r="O32" i="35" s="1"/>
  <c r="O30" i="37"/>
  <c r="P26" i="37" s="1"/>
  <c r="P28" i="37" s="1"/>
  <c r="M38" i="36"/>
  <c r="M39" i="36" s="1"/>
  <c r="M40" i="36" s="1"/>
  <c r="M41" i="36" s="1"/>
  <c r="M34" i="36"/>
  <c r="M35" i="36" s="1"/>
  <c r="M36" i="36" s="1"/>
  <c r="M37" i="36" s="1"/>
  <c r="O38" i="37"/>
  <c r="O39" i="37" s="1"/>
  <c r="O40" i="37" s="1"/>
  <c r="O41" i="37" s="1"/>
  <c r="O34" i="37"/>
  <c r="O35" i="37" s="1"/>
  <c r="O36" i="37" s="1"/>
  <c r="O37" i="37" s="1"/>
  <c r="O38" i="38"/>
  <c r="O39" i="38" s="1"/>
  <c r="O40" i="38" s="1"/>
  <c r="O41" i="38" s="1"/>
  <c r="O34" i="38"/>
  <c r="O35" i="38" s="1"/>
  <c r="O36" i="38" s="1"/>
  <c r="O37" i="38" s="1"/>
  <c r="O30" i="38"/>
  <c r="P26" i="38" s="1"/>
  <c r="P28" i="38" s="1"/>
  <c r="M30" i="36"/>
  <c r="N26" i="36" s="1"/>
  <c r="N28" i="36" s="1"/>
  <c r="S24" i="22"/>
  <c r="S27" i="22" s="1"/>
  <c r="L30" i="22"/>
  <c r="M26" i="22" s="1"/>
  <c r="M28" i="22" s="1"/>
  <c r="L38" i="22"/>
  <c r="L39" i="22" s="1"/>
  <c r="L40" i="22" s="1"/>
  <c r="L41" i="22" s="1"/>
  <c r="L34" i="22"/>
  <c r="L35" i="22" s="1"/>
  <c r="L36" i="22" s="1"/>
  <c r="L37" i="22" s="1"/>
  <c r="M31" i="34"/>
  <c r="N27" i="34" s="1"/>
  <c r="N29" i="34" s="1"/>
  <c r="N30" i="34" s="1"/>
  <c r="N32" i="34" s="1"/>
  <c r="N33" i="34" s="1"/>
  <c r="N39" i="34" s="1"/>
  <c r="N40" i="34" s="1"/>
  <c r="N41" i="34" s="1"/>
  <c r="M39" i="34"/>
  <c r="M40" i="34" s="1"/>
  <c r="M41" i="34" s="1"/>
  <c r="M42" i="34" s="1"/>
  <c r="M35" i="34"/>
  <c r="M36" i="34" s="1"/>
  <c r="M37" i="34" s="1"/>
  <c r="M38" i="34" s="1"/>
  <c r="N29" i="32"/>
  <c r="N31" i="32" s="1"/>
  <c r="N32" i="32" s="1"/>
  <c r="N29" i="36" l="1"/>
  <c r="N31" i="36" s="1"/>
  <c r="N32" i="36" s="1"/>
  <c r="P29" i="37"/>
  <c r="P31" i="37" s="1"/>
  <c r="P32" i="37" s="1"/>
  <c r="P29" i="38"/>
  <c r="P31" i="38" s="1"/>
  <c r="P32" i="38" s="1"/>
  <c r="S30" i="39"/>
  <c r="T26" i="39" s="1"/>
  <c r="T28" i="39" s="1"/>
  <c r="O34" i="35"/>
  <c r="O35" i="35" s="1"/>
  <c r="O36" i="35" s="1"/>
  <c r="O37" i="35" s="1"/>
  <c r="O38" i="35"/>
  <c r="O39" i="35" s="1"/>
  <c r="O40" i="35" s="1"/>
  <c r="O41" i="35" s="1"/>
  <c r="S38" i="39"/>
  <c r="S39" i="39" s="1"/>
  <c r="S40" i="39" s="1"/>
  <c r="S41" i="39" s="1"/>
  <c r="S34" i="39"/>
  <c r="S35" i="39" s="1"/>
  <c r="S36" i="39" s="1"/>
  <c r="S37" i="39" s="1"/>
  <c r="O30" i="35"/>
  <c r="P26" i="35" s="1"/>
  <c r="P28" i="35" s="1"/>
  <c r="T24" i="22"/>
  <c r="T27" i="22" s="1"/>
  <c r="M29" i="22"/>
  <c r="M31" i="22" s="1"/>
  <c r="M32" i="22" s="1"/>
  <c r="N31" i="34"/>
  <c r="O27" i="34" s="1"/>
  <c r="O29" i="34" s="1"/>
  <c r="O30" i="34" s="1"/>
  <c r="O32" i="34" s="1"/>
  <c r="O33" i="34" s="1"/>
  <c r="O39" i="34" s="1"/>
  <c r="O40" i="34" s="1"/>
  <c r="O41" i="34" s="1"/>
  <c r="N42" i="34"/>
  <c r="N35" i="34"/>
  <c r="N36" i="34" s="1"/>
  <c r="N37" i="34" s="1"/>
  <c r="N38" i="34" s="1"/>
  <c r="N38" i="32"/>
  <c r="N39" i="32" s="1"/>
  <c r="N40" i="32" s="1"/>
  <c r="N41" i="32" s="1"/>
  <c r="N34" i="32"/>
  <c r="N35" i="32" s="1"/>
  <c r="N36" i="32" s="1"/>
  <c r="N37" i="32" s="1"/>
  <c r="N30" i="32"/>
  <c r="O26" i="32" s="1"/>
  <c r="O28" i="32" s="1"/>
  <c r="N30" i="36" l="1"/>
  <c r="O26" i="36" s="1"/>
  <c r="O28" i="36" s="1"/>
  <c r="O29" i="36" s="1"/>
  <c r="O31" i="36" s="1"/>
  <c r="O32" i="36" s="1"/>
  <c r="T29" i="39"/>
  <c r="T31" i="39" s="1"/>
  <c r="T32" i="39" s="1"/>
  <c r="P30" i="38"/>
  <c r="Q26" i="38" s="1"/>
  <c r="Q28" i="38" s="1"/>
  <c r="P38" i="37"/>
  <c r="P39" i="37" s="1"/>
  <c r="P40" i="37" s="1"/>
  <c r="P41" i="37" s="1"/>
  <c r="P34" i="37"/>
  <c r="P35" i="37" s="1"/>
  <c r="P36" i="37" s="1"/>
  <c r="P37" i="37" s="1"/>
  <c r="P34" i="38"/>
  <c r="P35" i="38" s="1"/>
  <c r="P36" i="38" s="1"/>
  <c r="P37" i="38" s="1"/>
  <c r="P38" i="38"/>
  <c r="P39" i="38" s="1"/>
  <c r="P40" i="38" s="1"/>
  <c r="P41" i="38" s="1"/>
  <c r="P30" i="37"/>
  <c r="Q26" i="37" s="1"/>
  <c r="Q28" i="37" s="1"/>
  <c r="P29" i="35"/>
  <c r="P31" i="35" s="1"/>
  <c r="P32" i="35" s="1"/>
  <c r="N38" i="36"/>
  <c r="N39" i="36" s="1"/>
  <c r="N40" i="36" s="1"/>
  <c r="N41" i="36" s="1"/>
  <c r="N34" i="36"/>
  <c r="N35" i="36" s="1"/>
  <c r="N36" i="36" s="1"/>
  <c r="N37" i="36" s="1"/>
  <c r="U24" i="22"/>
  <c r="U27" i="22" s="1"/>
  <c r="M30" i="22"/>
  <c r="N26" i="22" s="1"/>
  <c r="N28" i="22" s="1"/>
  <c r="M34" i="22"/>
  <c r="M35" i="22" s="1"/>
  <c r="M36" i="22" s="1"/>
  <c r="M37" i="22" s="1"/>
  <c r="M38" i="22"/>
  <c r="M39" i="22" s="1"/>
  <c r="M40" i="22" s="1"/>
  <c r="M41" i="22" s="1"/>
  <c r="O42" i="34"/>
  <c r="O35" i="34"/>
  <c r="O36" i="34" s="1"/>
  <c r="O37" i="34" s="1"/>
  <c r="O38" i="34" s="1"/>
  <c r="O31" i="34"/>
  <c r="P27" i="34" s="1"/>
  <c r="P29" i="34" s="1"/>
  <c r="P30" i="34" s="1"/>
  <c r="P32" i="34" s="1"/>
  <c r="P33" i="34" s="1"/>
  <c r="O29" i="32"/>
  <c r="O31" i="32" s="1"/>
  <c r="O32" i="32" s="1"/>
  <c r="Q29" i="37" l="1"/>
  <c r="Q31" i="37" s="1"/>
  <c r="Q32" i="37" s="1"/>
  <c r="O38" i="36"/>
  <c r="O39" i="36" s="1"/>
  <c r="O40" i="36" s="1"/>
  <c r="O41" i="36" s="1"/>
  <c r="O34" i="36"/>
  <c r="O35" i="36" s="1"/>
  <c r="O36" i="36" s="1"/>
  <c r="O37" i="36" s="1"/>
  <c r="Q29" i="38"/>
  <c r="Q31" i="38" s="1"/>
  <c r="Q32" i="38" s="1"/>
  <c r="O30" i="36"/>
  <c r="P26" i="36" s="1"/>
  <c r="P28" i="36" s="1"/>
  <c r="T38" i="39"/>
  <c r="T39" i="39" s="1"/>
  <c r="T40" i="39" s="1"/>
  <c r="T41" i="39" s="1"/>
  <c r="T34" i="39"/>
  <c r="T35" i="39" s="1"/>
  <c r="T36" i="39" s="1"/>
  <c r="T37" i="39" s="1"/>
  <c r="P34" i="35"/>
  <c r="P35" i="35" s="1"/>
  <c r="P36" i="35" s="1"/>
  <c r="P37" i="35" s="1"/>
  <c r="P38" i="35"/>
  <c r="P39" i="35" s="1"/>
  <c r="P40" i="35" s="1"/>
  <c r="P41" i="35" s="1"/>
  <c r="P30" i="35"/>
  <c r="Q26" i="35" s="1"/>
  <c r="Q28" i="35" s="1"/>
  <c r="T30" i="39"/>
  <c r="U26" i="39" s="1"/>
  <c r="U28" i="39" s="1"/>
  <c r="V24" i="22"/>
  <c r="V27" i="22" s="1"/>
  <c r="N29" i="22"/>
  <c r="N31" i="22" s="1"/>
  <c r="N32" i="22" s="1"/>
  <c r="P31" i="34"/>
  <c r="Q27" i="34" s="1"/>
  <c r="Q29" i="34" s="1"/>
  <c r="Q30" i="34" s="1"/>
  <c r="Q32" i="34" s="1"/>
  <c r="Q33" i="34" s="1"/>
  <c r="O30" i="32"/>
  <c r="P26" i="32" s="1"/>
  <c r="P28" i="32" s="1"/>
  <c r="P39" i="34"/>
  <c r="P40" i="34" s="1"/>
  <c r="P41" i="34" s="1"/>
  <c r="P42" i="34" s="1"/>
  <c r="P35" i="34"/>
  <c r="P36" i="34" s="1"/>
  <c r="P37" i="34" s="1"/>
  <c r="P38" i="34" s="1"/>
  <c r="O34" i="32"/>
  <c r="O35" i="32" s="1"/>
  <c r="O36" i="32" s="1"/>
  <c r="O37" i="32" s="1"/>
  <c r="O38" i="32"/>
  <c r="O39" i="32" s="1"/>
  <c r="O40" i="32" s="1"/>
  <c r="O41" i="32" s="1"/>
  <c r="Q30" i="37" l="1"/>
  <c r="R26" i="37" s="1"/>
  <c r="R28" i="37" s="1"/>
  <c r="R29" i="37" s="1"/>
  <c r="R31" i="37" s="1"/>
  <c r="R32" i="37" s="1"/>
  <c r="P29" i="36"/>
  <c r="P31" i="36" s="1"/>
  <c r="P32" i="36" s="1"/>
  <c r="Q30" i="38"/>
  <c r="R26" i="38" s="1"/>
  <c r="R28" i="38" s="1"/>
  <c r="U29" i="39"/>
  <c r="U31" i="39" s="1"/>
  <c r="U32" i="39" s="1"/>
  <c r="Q29" i="35"/>
  <c r="Q31" i="35" s="1"/>
  <c r="Q32" i="35" s="1"/>
  <c r="Q38" i="38"/>
  <c r="Q39" i="38" s="1"/>
  <c r="Q40" i="38" s="1"/>
  <c r="Q41" i="38" s="1"/>
  <c r="Q34" i="38"/>
  <c r="Q35" i="38" s="1"/>
  <c r="Q36" i="38" s="1"/>
  <c r="Q37" i="38" s="1"/>
  <c r="Q38" i="37"/>
  <c r="Q39" i="37" s="1"/>
  <c r="Q40" i="37" s="1"/>
  <c r="Q41" i="37" s="1"/>
  <c r="Q34" i="37"/>
  <c r="Q35" i="37" s="1"/>
  <c r="Q36" i="37" s="1"/>
  <c r="Q37" i="37" s="1"/>
  <c r="W24" i="22"/>
  <c r="W27" i="22" s="1"/>
  <c r="N30" i="22"/>
  <c r="O26" i="22" s="1"/>
  <c r="O28" i="22" s="1"/>
  <c r="N34" i="22"/>
  <c r="N35" i="22" s="1"/>
  <c r="N36" i="22" s="1"/>
  <c r="N37" i="22" s="1"/>
  <c r="N38" i="22"/>
  <c r="N39" i="22" s="1"/>
  <c r="N40" i="22" s="1"/>
  <c r="N41" i="22" s="1"/>
  <c r="P29" i="32"/>
  <c r="P31" i="32" s="1"/>
  <c r="P32" i="32" s="1"/>
  <c r="Q39" i="34"/>
  <c r="Q40" i="34" s="1"/>
  <c r="Q41" i="34" s="1"/>
  <c r="Q42" i="34" s="1"/>
  <c r="Q35" i="34"/>
  <c r="Q36" i="34" s="1"/>
  <c r="Q37" i="34" s="1"/>
  <c r="Q38" i="34" s="1"/>
  <c r="Q31" i="34"/>
  <c r="R27" i="34" s="1"/>
  <c r="R29" i="34" s="1"/>
  <c r="Q38" i="35" l="1"/>
  <c r="Q39" i="35" s="1"/>
  <c r="Q40" i="35" s="1"/>
  <c r="Q41" i="35" s="1"/>
  <c r="Q34" i="35"/>
  <c r="Q35" i="35" s="1"/>
  <c r="Q36" i="35" s="1"/>
  <c r="Q37" i="35" s="1"/>
  <c r="Q30" i="35"/>
  <c r="R26" i="35" s="1"/>
  <c r="R28" i="35" s="1"/>
  <c r="U38" i="39"/>
  <c r="U39" i="39" s="1"/>
  <c r="U40" i="39" s="1"/>
  <c r="U41" i="39" s="1"/>
  <c r="U34" i="39"/>
  <c r="U35" i="39" s="1"/>
  <c r="U36" i="39" s="1"/>
  <c r="U37" i="39" s="1"/>
  <c r="R30" i="37"/>
  <c r="S26" i="37" s="1"/>
  <c r="S28" i="37" s="1"/>
  <c r="U30" i="39"/>
  <c r="V26" i="39" s="1"/>
  <c r="V28" i="39" s="1"/>
  <c r="R29" i="38"/>
  <c r="R31" i="38" s="1"/>
  <c r="R32" i="38" s="1"/>
  <c r="R38" i="37"/>
  <c r="R39" i="37" s="1"/>
  <c r="R40" i="37" s="1"/>
  <c r="R41" i="37" s="1"/>
  <c r="R34" i="37"/>
  <c r="R35" i="37" s="1"/>
  <c r="R36" i="37" s="1"/>
  <c r="R37" i="37" s="1"/>
  <c r="P38" i="36"/>
  <c r="P39" i="36" s="1"/>
  <c r="P40" i="36" s="1"/>
  <c r="P41" i="36" s="1"/>
  <c r="P34" i="36"/>
  <c r="P35" i="36" s="1"/>
  <c r="P36" i="36" s="1"/>
  <c r="P37" i="36" s="1"/>
  <c r="P30" i="36"/>
  <c r="Q26" i="36" s="1"/>
  <c r="Q28" i="36" s="1"/>
  <c r="X24" i="22"/>
  <c r="X27" i="22" s="1"/>
  <c r="O29" i="22"/>
  <c r="O31" i="22" s="1"/>
  <c r="O32" i="22" s="1"/>
  <c r="R30" i="34"/>
  <c r="R32" i="34" s="1"/>
  <c r="R33" i="34" s="1"/>
  <c r="P38" i="32"/>
  <c r="P39" i="32" s="1"/>
  <c r="P40" i="32" s="1"/>
  <c r="P41" i="32" s="1"/>
  <c r="P34" i="32"/>
  <c r="P35" i="32" s="1"/>
  <c r="P36" i="32" s="1"/>
  <c r="P37" i="32" s="1"/>
  <c r="P30" i="32"/>
  <c r="Q26" i="32" s="1"/>
  <c r="Q28" i="32" s="1"/>
  <c r="R30" i="38" l="1"/>
  <c r="S26" i="38" s="1"/>
  <c r="S28" i="38" s="1"/>
  <c r="S29" i="38" s="1"/>
  <c r="S31" i="38" s="1"/>
  <c r="S32" i="38" s="1"/>
  <c r="Q29" i="36"/>
  <c r="Q31" i="36" s="1"/>
  <c r="Q32" i="36" s="1"/>
  <c r="S29" i="37"/>
  <c r="S31" i="37" s="1"/>
  <c r="S32" i="37" s="1"/>
  <c r="R29" i="35"/>
  <c r="R31" i="35" s="1"/>
  <c r="R32" i="35" s="1"/>
  <c r="V29" i="39"/>
  <c r="V31" i="39" s="1"/>
  <c r="V32" i="39" s="1"/>
  <c r="R38" i="38"/>
  <c r="R39" i="38" s="1"/>
  <c r="R40" i="38" s="1"/>
  <c r="R41" i="38" s="1"/>
  <c r="R34" i="38"/>
  <c r="R35" i="38" s="1"/>
  <c r="R36" i="38" s="1"/>
  <c r="R37" i="38" s="1"/>
  <c r="Y24" i="22"/>
  <c r="Y27" i="22" s="1"/>
  <c r="O30" i="22"/>
  <c r="P26" i="22" s="1"/>
  <c r="P28" i="22" s="1"/>
  <c r="P29" i="22" s="1"/>
  <c r="P31" i="22" s="1"/>
  <c r="P32" i="22" s="1"/>
  <c r="O38" i="22"/>
  <c r="O39" i="22" s="1"/>
  <c r="O40" i="22" s="1"/>
  <c r="O41" i="22" s="1"/>
  <c r="O34" i="22"/>
  <c r="O35" i="22" s="1"/>
  <c r="O36" i="22" s="1"/>
  <c r="O37" i="22" s="1"/>
  <c r="R31" i="34"/>
  <c r="S27" i="34" s="1"/>
  <c r="S29" i="34" s="1"/>
  <c r="S30" i="34" s="1"/>
  <c r="S32" i="34" s="1"/>
  <c r="S33" i="34" s="1"/>
  <c r="Q29" i="32"/>
  <c r="Q31" i="32" s="1"/>
  <c r="Q32" i="32" s="1"/>
  <c r="R39" i="34"/>
  <c r="R40" i="34" s="1"/>
  <c r="R41" i="34" s="1"/>
  <c r="R42" i="34" s="1"/>
  <c r="R35" i="34"/>
  <c r="R36" i="34" s="1"/>
  <c r="R37" i="34" s="1"/>
  <c r="R38" i="34" s="1"/>
  <c r="S30" i="37" l="1"/>
  <c r="T26" i="37" s="1"/>
  <c r="T28" i="37" s="1"/>
  <c r="T29" i="37" s="1"/>
  <c r="T31" i="37" s="1"/>
  <c r="T32" i="37" s="1"/>
  <c r="R30" i="35"/>
  <c r="S26" i="35" s="1"/>
  <c r="S28" i="35" s="1"/>
  <c r="S38" i="37"/>
  <c r="S39" i="37" s="1"/>
  <c r="S40" i="37" s="1"/>
  <c r="S41" i="37" s="1"/>
  <c r="S34" i="37"/>
  <c r="S35" i="37" s="1"/>
  <c r="S36" i="37" s="1"/>
  <c r="S37" i="37" s="1"/>
  <c r="R34" i="35"/>
  <c r="R35" i="35" s="1"/>
  <c r="R36" i="35" s="1"/>
  <c r="R37" i="35" s="1"/>
  <c r="R38" i="35"/>
  <c r="R39" i="35" s="1"/>
  <c r="R40" i="35" s="1"/>
  <c r="R41" i="35" s="1"/>
  <c r="Q38" i="36"/>
  <c r="Q39" i="36" s="1"/>
  <c r="Q40" i="36" s="1"/>
  <c r="Q41" i="36" s="1"/>
  <c r="Q34" i="36"/>
  <c r="Q35" i="36" s="1"/>
  <c r="Q36" i="36" s="1"/>
  <c r="Q37" i="36" s="1"/>
  <c r="Q30" i="36"/>
  <c r="R26" i="36" s="1"/>
  <c r="R28" i="36" s="1"/>
  <c r="S34" i="38"/>
  <c r="S35" i="38" s="1"/>
  <c r="S36" i="38" s="1"/>
  <c r="S37" i="38" s="1"/>
  <c r="S38" i="38"/>
  <c r="S39" i="38" s="1"/>
  <c r="S40" i="38" s="1"/>
  <c r="S41" i="38" s="1"/>
  <c r="V38" i="39"/>
  <c r="V39" i="39" s="1"/>
  <c r="V40" i="39" s="1"/>
  <c r="V41" i="39" s="1"/>
  <c r="V34" i="39"/>
  <c r="V35" i="39" s="1"/>
  <c r="V36" i="39" s="1"/>
  <c r="V37" i="39" s="1"/>
  <c r="V30" i="39"/>
  <c r="W26" i="39" s="1"/>
  <c r="W28" i="39" s="1"/>
  <c r="S30" i="38"/>
  <c r="T26" i="38" s="1"/>
  <c r="T28" i="38" s="1"/>
  <c r="Z24" i="22"/>
  <c r="Z27" i="22" s="1"/>
  <c r="P34" i="22"/>
  <c r="P35" i="22" s="1"/>
  <c r="P36" i="22" s="1"/>
  <c r="P37" i="22" s="1"/>
  <c r="P38" i="22"/>
  <c r="P39" i="22" s="1"/>
  <c r="P40" i="22" s="1"/>
  <c r="P41" i="22" s="1"/>
  <c r="P30" i="22"/>
  <c r="Q26" i="22" s="1"/>
  <c r="Q28" i="22" s="1"/>
  <c r="S35" i="34"/>
  <c r="S36" i="34" s="1"/>
  <c r="S37" i="34" s="1"/>
  <c r="S38" i="34" s="1"/>
  <c r="S39" i="34"/>
  <c r="S40" i="34" s="1"/>
  <c r="S41" i="34" s="1"/>
  <c r="S42" i="34" s="1"/>
  <c r="S31" i="34"/>
  <c r="T27" i="34" s="1"/>
  <c r="T29" i="34" s="1"/>
  <c r="Q38" i="32"/>
  <c r="Q39" i="32" s="1"/>
  <c r="Q40" i="32" s="1"/>
  <c r="Q41" i="32" s="1"/>
  <c r="Q34" i="32"/>
  <c r="Q35" i="32" s="1"/>
  <c r="Q36" i="32" s="1"/>
  <c r="Q37" i="32" s="1"/>
  <c r="Q30" i="32"/>
  <c r="R26" i="32" s="1"/>
  <c r="R28" i="32" s="1"/>
  <c r="W29" i="39" l="1"/>
  <c r="W31" i="39" s="1"/>
  <c r="W32" i="39" s="1"/>
  <c r="T38" i="37"/>
  <c r="T39" i="37" s="1"/>
  <c r="T40" i="37" s="1"/>
  <c r="T41" i="37" s="1"/>
  <c r="T34" i="37"/>
  <c r="T35" i="37" s="1"/>
  <c r="T36" i="37" s="1"/>
  <c r="T37" i="37" s="1"/>
  <c r="T30" i="37"/>
  <c r="U26" i="37" s="1"/>
  <c r="U28" i="37" s="1"/>
  <c r="R29" i="36"/>
  <c r="R31" i="36" s="1"/>
  <c r="R32" i="36" s="1"/>
  <c r="T29" i="38"/>
  <c r="T31" i="38" s="1"/>
  <c r="T32" i="38" s="1"/>
  <c r="S29" i="35"/>
  <c r="S31" i="35" s="1"/>
  <c r="S32" i="35" s="1"/>
  <c r="AA24" i="22"/>
  <c r="AA27" i="22" s="1"/>
  <c r="Q29" i="22"/>
  <c r="Q31" i="22" s="1"/>
  <c r="Q32" i="22" s="1"/>
  <c r="R29" i="32"/>
  <c r="R31" i="32" s="1"/>
  <c r="R32" i="32" s="1"/>
  <c r="T30" i="34"/>
  <c r="T32" i="34" s="1"/>
  <c r="T33" i="34" s="1"/>
  <c r="R30" i="36" l="1"/>
  <c r="S26" i="36" s="1"/>
  <c r="S28" i="36" s="1"/>
  <c r="S29" i="36" s="1"/>
  <c r="S31" i="36" s="1"/>
  <c r="S32" i="36" s="1"/>
  <c r="T30" i="38"/>
  <c r="U26" i="38" s="1"/>
  <c r="U28" i="38" s="1"/>
  <c r="U29" i="38" s="1"/>
  <c r="U31" i="38" s="1"/>
  <c r="U32" i="38" s="1"/>
  <c r="R38" i="36"/>
  <c r="R39" i="36" s="1"/>
  <c r="R40" i="36" s="1"/>
  <c r="R41" i="36" s="1"/>
  <c r="R34" i="36"/>
  <c r="R35" i="36" s="1"/>
  <c r="R36" i="36" s="1"/>
  <c r="R37" i="36" s="1"/>
  <c r="U29" i="37"/>
  <c r="U31" i="37" s="1"/>
  <c r="U32" i="37" s="1"/>
  <c r="W34" i="39"/>
  <c r="W35" i="39" s="1"/>
  <c r="W36" i="39" s="1"/>
  <c r="W37" i="39" s="1"/>
  <c r="W38" i="39"/>
  <c r="W39" i="39" s="1"/>
  <c r="W40" i="39" s="1"/>
  <c r="W41" i="39" s="1"/>
  <c r="S38" i="35"/>
  <c r="S39" i="35" s="1"/>
  <c r="S40" i="35" s="1"/>
  <c r="S41" i="35" s="1"/>
  <c r="S34" i="35"/>
  <c r="S35" i="35" s="1"/>
  <c r="S36" i="35" s="1"/>
  <c r="S37" i="35" s="1"/>
  <c r="S30" i="35"/>
  <c r="T26" i="35" s="1"/>
  <c r="T28" i="35" s="1"/>
  <c r="T38" i="38"/>
  <c r="T39" i="38" s="1"/>
  <c r="T40" i="38" s="1"/>
  <c r="T41" i="38" s="1"/>
  <c r="T34" i="38"/>
  <c r="T35" i="38" s="1"/>
  <c r="T36" i="38" s="1"/>
  <c r="T37" i="38" s="1"/>
  <c r="W30" i="39"/>
  <c r="X26" i="39" s="1"/>
  <c r="X28" i="39" s="1"/>
  <c r="AB24" i="22"/>
  <c r="AB27" i="22" s="1"/>
  <c r="Q30" i="22"/>
  <c r="R26" i="22" s="1"/>
  <c r="R28" i="22" s="1"/>
  <c r="R29" i="22" s="1"/>
  <c r="R31" i="22" s="1"/>
  <c r="R32" i="22" s="1"/>
  <c r="Q38" i="22"/>
  <c r="Q39" i="22" s="1"/>
  <c r="Q40" i="22" s="1"/>
  <c r="Q41" i="22" s="1"/>
  <c r="Q34" i="22"/>
  <c r="Q35" i="22" s="1"/>
  <c r="Q36" i="22" s="1"/>
  <c r="Q37" i="22" s="1"/>
  <c r="R38" i="32"/>
  <c r="R39" i="32" s="1"/>
  <c r="R40" i="32" s="1"/>
  <c r="R41" i="32" s="1"/>
  <c r="R34" i="32"/>
  <c r="R35" i="32" s="1"/>
  <c r="R36" i="32" s="1"/>
  <c r="R37" i="32" s="1"/>
  <c r="T39" i="34"/>
  <c r="T40" i="34" s="1"/>
  <c r="T41" i="34" s="1"/>
  <c r="T42" i="34" s="1"/>
  <c r="T35" i="34"/>
  <c r="T36" i="34" s="1"/>
  <c r="T37" i="34" s="1"/>
  <c r="T38" i="34" s="1"/>
  <c r="T31" i="34"/>
  <c r="U27" i="34" s="1"/>
  <c r="U29" i="34" s="1"/>
  <c r="R30" i="32"/>
  <c r="S26" i="32" s="1"/>
  <c r="S28" i="32" s="1"/>
  <c r="X29" i="39" l="1"/>
  <c r="X31" i="39" s="1"/>
  <c r="X32" i="39" s="1"/>
  <c r="T29" i="35"/>
  <c r="T31" i="35" s="1"/>
  <c r="T32" i="35" s="1"/>
  <c r="U30" i="37"/>
  <c r="V26" i="37" s="1"/>
  <c r="V28" i="37" s="1"/>
  <c r="U38" i="38"/>
  <c r="U39" i="38" s="1"/>
  <c r="U40" i="38" s="1"/>
  <c r="U41" i="38" s="1"/>
  <c r="U34" i="38"/>
  <c r="U35" i="38" s="1"/>
  <c r="U36" i="38" s="1"/>
  <c r="U37" i="38" s="1"/>
  <c r="U30" i="38"/>
  <c r="V26" i="38" s="1"/>
  <c r="V28" i="38" s="1"/>
  <c r="S38" i="36"/>
  <c r="S39" i="36" s="1"/>
  <c r="S40" i="36" s="1"/>
  <c r="S41" i="36" s="1"/>
  <c r="S34" i="36"/>
  <c r="S35" i="36" s="1"/>
  <c r="S36" i="36" s="1"/>
  <c r="S37" i="36" s="1"/>
  <c r="U38" i="37"/>
  <c r="U39" i="37" s="1"/>
  <c r="U40" i="37" s="1"/>
  <c r="U41" i="37" s="1"/>
  <c r="U34" i="37"/>
  <c r="U35" i="37" s="1"/>
  <c r="U36" i="37" s="1"/>
  <c r="U37" i="37" s="1"/>
  <c r="S30" i="36"/>
  <c r="T26" i="36" s="1"/>
  <c r="T28" i="36" s="1"/>
  <c r="AC24" i="22"/>
  <c r="AC27" i="22" s="1"/>
  <c r="R30" i="22"/>
  <c r="S26" i="22" s="1"/>
  <c r="S28" i="22" s="1"/>
  <c r="R34" i="22"/>
  <c r="R35" i="22" s="1"/>
  <c r="R36" i="22" s="1"/>
  <c r="R37" i="22" s="1"/>
  <c r="R38" i="22"/>
  <c r="R39" i="22" s="1"/>
  <c r="R40" i="22" s="1"/>
  <c r="R41" i="22" s="1"/>
  <c r="U30" i="34"/>
  <c r="U32" i="34" s="1"/>
  <c r="U33" i="34" s="1"/>
  <c r="S29" i="32"/>
  <c r="S31" i="32" s="1"/>
  <c r="S32" i="32" s="1"/>
  <c r="V29" i="38" l="1"/>
  <c r="V31" i="38" s="1"/>
  <c r="V32" i="38" s="1"/>
  <c r="T29" i="36"/>
  <c r="T31" i="36" s="1"/>
  <c r="T32" i="36" s="1"/>
  <c r="V29" i="37"/>
  <c r="V31" i="37" s="1"/>
  <c r="V32" i="37" s="1"/>
  <c r="T34" i="35"/>
  <c r="T35" i="35" s="1"/>
  <c r="T36" i="35" s="1"/>
  <c r="T37" i="35" s="1"/>
  <c r="T38" i="35"/>
  <c r="T39" i="35" s="1"/>
  <c r="T40" i="35" s="1"/>
  <c r="T41" i="35" s="1"/>
  <c r="T30" i="35"/>
  <c r="U26" i="35" s="1"/>
  <c r="U28" i="35" s="1"/>
  <c r="X38" i="39"/>
  <c r="X39" i="39" s="1"/>
  <c r="X40" i="39" s="1"/>
  <c r="X41" i="39" s="1"/>
  <c r="X34" i="39"/>
  <c r="X35" i="39" s="1"/>
  <c r="X36" i="39" s="1"/>
  <c r="X37" i="39" s="1"/>
  <c r="X30" i="39"/>
  <c r="Y26" i="39" s="1"/>
  <c r="Y28" i="39" s="1"/>
  <c r="AD24" i="22"/>
  <c r="AD27" i="22" s="1"/>
  <c r="S29" i="22"/>
  <c r="S31" i="22" s="1"/>
  <c r="S32" i="22" s="1"/>
  <c r="S38" i="32"/>
  <c r="S39" i="32" s="1"/>
  <c r="S40" i="32" s="1"/>
  <c r="S41" i="32" s="1"/>
  <c r="S34" i="32"/>
  <c r="S35" i="32" s="1"/>
  <c r="S36" i="32" s="1"/>
  <c r="S37" i="32" s="1"/>
  <c r="S30" i="32"/>
  <c r="T26" i="32" s="1"/>
  <c r="T28" i="32" s="1"/>
  <c r="U39" i="34"/>
  <c r="U40" i="34" s="1"/>
  <c r="U41" i="34" s="1"/>
  <c r="U42" i="34" s="1"/>
  <c r="U35" i="34"/>
  <c r="U36" i="34" s="1"/>
  <c r="U37" i="34" s="1"/>
  <c r="U38" i="34" s="1"/>
  <c r="U31" i="34"/>
  <c r="V27" i="34" s="1"/>
  <c r="V29" i="34" s="1"/>
  <c r="V30" i="37" l="1"/>
  <c r="W26" i="37" s="1"/>
  <c r="W28" i="37" s="1"/>
  <c r="W29" i="37" s="1"/>
  <c r="W31" i="37" s="1"/>
  <c r="W32" i="37" s="1"/>
  <c r="V38" i="37"/>
  <c r="V39" i="37" s="1"/>
  <c r="V40" i="37" s="1"/>
  <c r="V41" i="37" s="1"/>
  <c r="V34" i="37"/>
  <c r="V35" i="37" s="1"/>
  <c r="V36" i="37" s="1"/>
  <c r="V37" i="37" s="1"/>
  <c r="T34" i="36"/>
  <c r="T35" i="36" s="1"/>
  <c r="T36" i="36" s="1"/>
  <c r="T37" i="36" s="1"/>
  <c r="T38" i="36"/>
  <c r="T39" i="36" s="1"/>
  <c r="T40" i="36" s="1"/>
  <c r="T41" i="36" s="1"/>
  <c r="T30" i="36"/>
  <c r="U26" i="36" s="1"/>
  <c r="U28" i="36" s="1"/>
  <c r="Y29" i="39"/>
  <c r="Y31" i="39" s="1"/>
  <c r="Y32" i="39" s="1"/>
  <c r="V38" i="38"/>
  <c r="V39" i="38" s="1"/>
  <c r="V40" i="38" s="1"/>
  <c r="V41" i="38" s="1"/>
  <c r="V34" i="38"/>
  <c r="V35" i="38" s="1"/>
  <c r="V36" i="38" s="1"/>
  <c r="V37" i="38" s="1"/>
  <c r="U29" i="35"/>
  <c r="U31" i="35" s="1"/>
  <c r="U32" i="35" s="1"/>
  <c r="V30" i="38"/>
  <c r="W26" i="38" s="1"/>
  <c r="W28" i="38" s="1"/>
  <c r="AE24" i="22"/>
  <c r="AE27" i="22" s="1"/>
  <c r="S30" i="22"/>
  <c r="T26" i="22" s="1"/>
  <c r="T28" i="22" s="1"/>
  <c r="T29" i="22" s="1"/>
  <c r="T31" i="22" s="1"/>
  <c r="T32" i="22" s="1"/>
  <c r="S38" i="22"/>
  <c r="S39" i="22" s="1"/>
  <c r="S40" i="22" s="1"/>
  <c r="S41" i="22" s="1"/>
  <c r="S34" i="22"/>
  <c r="S35" i="22" s="1"/>
  <c r="S36" i="22" s="1"/>
  <c r="S37" i="22" s="1"/>
  <c r="V30" i="34"/>
  <c r="V32" i="34" s="1"/>
  <c r="V33" i="34" s="1"/>
  <c r="T29" i="32"/>
  <c r="T31" i="32" s="1"/>
  <c r="T32" i="32" s="1"/>
  <c r="Y38" i="39" l="1"/>
  <c r="Y39" i="39" s="1"/>
  <c r="Y40" i="39" s="1"/>
  <c r="Y41" i="39" s="1"/>
  <c r="Y34" i="39"/>
  <c r="Y35" i="39" s="1"/>
  <c r="Y36" i="39" s="1"/>
  <c r="Y37" i="39" s="1"/>
  <c r="U29" i="36"/>
  <c r="U31" i="36" s="1"/>
  <c r="U32" i="36" s="1"/>
  <c r="W29" i="38"/>
  <c r="W31" i="38" s="1"/>
  <c r="W32" i="38" s="1"/>
  <c r="W38" i="37"/>
  <c r="W39" i="37" s="1"/>
  <c r="W40" i="37" s="1"/>
  <c r="W41" i="37" s="1"/>
  <c r="W34" i="37"/>
  <c r="W35" i="37" s="1"/>
  <c r="W36" i="37" s="1"/>
  <c r="W37" i="37" s="1"/>
  <c r="W30" i="37"/>
  <c r="X26" i="37" s="1"/>
  <c r="X28" i="37" s="1"/>
  <c r="U38" i="35"/>
  <c r="U39" i="35" s="1"/>
  <c r="U40" i="35" s="1"/>
  <c r="U41" i="35" s="1"/>
  <c r="U34" i="35"/>
  <c r="U35" i="35" s="1"/>
  <c r="U36" i="35" s="1"/>
  <c r="U37" i="35" s="1"/>
  <c r="U30" i="35"/>
  <c r="V26" i="35" s="1"/>
  <c r="V28" i="35" s="1"/>
  <c r="Y30" i="39"/>
  <c r="Z26" i="39" s="1"/>
  <c r="Z28" i="39" s="1"/>
  <c r="AF24" i="22"/>
  <c r="AF27" i="22" s="1"/>
  <c r="T30" i="22"/>
  <c r="U26" i="22" s="1"/>
  <c r="U28" i="22" s="1"/>
  <c r="U29" i="22" s="1"/>
  <c r="U31" i="22" s="1"/>
  <c r="U32" i="22" s="1"/>
  <c r="T34" i="22"/>
  <c r="T35" i="22" s="1"/>
  <c r="T36" i="22" s="1"/>
  <c r="T37" i="22" s="1"/>
  <c r="T38" i="22"/>
  <c r="T39" i="22" s="1"/>
  <c r="T40" i="22" s="1"/>
  <c r="T41" i="22" s="1"/>
  <c r="T30" i="32"/>
  <c r="U26" i="32" s="1"/>
  <c r="U28" i="32" s="1"/>
  <c r="T38" i="32"/>
  <c r="T39" i="32" s="1"/>
  <c r="T40" i="32" s="1"/>
  <c r="T41" i="32" s="1"/>
  <c r="T34" i="32"/>
  <c r="T35" i="32" s="1"/>
  <c r="T36" i="32" s="1"/>
  <c r="T37" i="32" s="1"/>
  <c r="V39" i="34"/>
  <c r="V40" i="34" s="1"/>
  <c r="V41" i="34" s="1"/>
  <c r="V42" i="34" s="1"/>
  <c r="V35" i="34"/>
  <c r="V36" i="34" s="1"/>
  <c r="V37" i="34" s="1"/>
  <c r="V38" i="34" s="1"/>
  <c r="V31" i="34"/>
  <c r="W27" i="34" s="1"/>
  <c r="W29" i="34" s="1"/>
  <c r="W30" i="38" l="1"/>
  <c r="X26" i="38" s="1"/>
  <c r="X28" i="38" s="1"/>
  <c r="Z29" i="39"/>
  <c r="Z31" i="39" s="1"/>
  <c r="Z32" i="39" s="1"/>
  <c r="W38" i="38"/>
  <c r="W39" i="38" s="1"/>
  <c r="W40" i="38" s="1"/>
  <c r="W41" i="38" s="1"/>
  <c r="W34" i="38"/>
  <c r="W35" i="38" s="1"/>
  <c r="W36" i="38" s="1"/>
  <c r="W37" i="38" s="1"/>
  <c r="U34" i="36"/>
  <c r="U35" i="36" s="1"/>
  <c r="U36" i="36" s="1"/>
  <c r="U37" i="36" s="1"/>
  <c r="U38" i="36"/>
  <c r="U39" i="36" s="1"/>
  <c r="U40" i="36" s="1"/>
  <c r="U41" i="36" s="1"/>
  <c r="U30" i="36"/>
  <c r="V26" i="36" s="1"/>
  <c r="V28" i="36" s="1"/>
  <c r="V29" i="35"/>
  <c r="V31" i="35" s="1"/>
  <c r="V32" i="35" s="1"/>
  <c r="X29" i="37"/>
  <c r="X31" i="37" s="1"/>
  <c r="X32" i="37" s="1"/>
  <c r="U30" i="22"/>
  <c r="V26" i="22" s="1"/>
  <c r="V28" i="22" s="1"/>
  <c r="U34" i="22"/>
  <c r="U35" i="22" s="1"/>
  <c r="U36" i="22" s="1"/>
  <c r="U37" i="22" s="1"/>
  <c r="U38" i="22"/>
  <c r="U39" i="22" s="1"/>
  <c r="U40" i="22" s="1"/>
  <c r="U41" i="22" s="1"/>
  <c r="W30" i="34"/>
  <c r="W32" i="34" s="1"/>
  <c r="W33" i="34" s="1"/>
  <c r="U29" i="32"/>
  <c r="U31" i="32" s="1"/>
  <c r="U32" i="32" s="1"/>
  <c r="V30" i="35" l="1"/>
  <c r="W26" i="35" s="1"/>
  <c r="W28" i="35" s="1"/>
  <c r="W29" i="35" s="1"/>
  <c r="W31" i="35" s="1"/>
  <c r="W32" i="35" s="1"/>
  <c r="V29" i="36"/>
  <c r="V31" i="36" s="1"/>
  <c r="V32" i="36" s="1"/>
  <c r="X38" i="37"/>
  <c r="X39" i="37" s="1"/>
  <c r="X40" i="37" s="1"/>
  <c r="X41" i="37" s="1"/>
  <c r="X34" i="37"/>
  <c r="X35" i="37" s="1"/>
  <c r="X36" i="37" s="1"/>
  <c r="X37" i="37" s="1"/>
  <c r="Z38" i="39"/>
  <c r="Z39" i="39" s="1"/>
  <c r="Z40" i="39" s="1"/>
  <c r="Z41" i="39" s="1"/>
  <c r="Z34" i="39"/>
  <c r="Z35" i="39" s="1"/>
  <c r="Z36" i="39" s="1"/>
  <c r="Z37" i="39" s="1"/>
  <c r="X30" i="37"/>
  <c r="Y26" i="37" s="1"/>
  <c r="Y28" i="37" s="1"/>
  <c r="V38" i="35"/>
  <c r="V39" i="35" s="1"/>
  <c r="V40" i="35" s="1"/>
  <c r="V41" i="35" s="1"/>
  <c r="V34" i="35"/>
  <c r="V35" i="35" s="1"/>
  <c r="V36" i="35" s="1"/>
  <c r="V37" i="35" s="1"/>
  <c r="Z30" i="39"/>
  <c r="AA26" i="39" s="1"/>
  <c r="AA28" i="39" s="1"/>
  <c r="X29" i="38"/>
  <c r="X31" i="38" s="1"/>
  <c r="X32" i="38" s="1"/>
  <c r="V29" i="22"/>
  <c r="V31" i="22" s="1"/>
  <c r="V32" i="22" s="1"/>
  <c r="W31" i="34"/>
  <c r="X27" i="34" s="1"/>
  <c r="X29" i="34" s="1"/>
  <c r="X30" i="34" s="1"/>
  <c r="X32" i="34" s="1"/>
  <c r="X33" i="34" s="1"/>
  <c r="U38" i="32"/>
  <c r="U39" i="32" s="1"/>
  <c r="U40" i="32" s="1"/>
  <c r="U41" i="32" s="1"/>
  <c r="U34" i="32"/>
  <c r="U35" i="32" s="1"/>
  <c r="U36" i="32" s="1"/>
  <c r="U37" i="32" s="1"/>
  <c r="U30" i="32"/>
  <c r="V26" i="32" s="1"/>
  <c r="V28" i="32" s="1"/>
  <c r="W39" i="34"/>
  <c r="W40" i="34" s="1"/>
  <c r="W41" i="34" s="1"/>
  <c r="W42" i="34" s="1"/>
  <c r="W35" i="34"/>
  <c r="W36" i="34" s="1"/>
  <c r="W37" i="34" s="1"/>
  <c r="W38" i="34" s="1"/>
  <c r="W30" i="35" l="1"/>
  <c r="X26" i="35" s="1"/>
  <c r="X28" i="35" s="1"/>
  <c r="X34" i="38"/>
  <c r="X35" i="38" s="1"/>
  <c r="X36" i="38" s="1"/>
  <c r="X37" i="38" s="1"/>
  <c r="X38" i="38"/>
  <c r="X39" i="38" s="1"/>
  <c r="X40" i="38" s="1"/>
  <c r="X41" i="38" s="1"/>
  <c r="X30" i="38"/>
  <c r="Y26" i="38" s="1"/>
  <c r="Y28" i="38" s="1"/>
  <c r="W34" i="35"/>
  <c r="W35" i="35" s="1"/>
  <c r="W36" i="35" s="1"/>
  <c r="W37" i="35" s="1"/>
  <c r="W38" i="35"/>
  <c r="W39" i="35" s="1"/>
  <c r="W40" i="35" s="1"/>
  <c r="W41" i="35" s="1"/>
  <c r="V38" i="36"/>
  <c r="V39" i="36" s="1"/>
  <c r="V40" i="36" s="1"/>
  <c r="V41" i="36" s="1"/>
  <c r="V34" i="36"/>
  <c r="V35" i="36" s="1"/>
  <c r="V36" i="36" s="1"/>
  <c r="V37" i="36" s="1"/>
  <c r="AA29" i="39"/>
  <c r="AA31" i="39" s="1"/>
  <c r="AA32" i="39" s="1"/>
  <c r="Y29" i="37"/>
  <c r="Y31" i="37" s="1"/>
  <c r="Y32" i="37" s="1"/>
  <c r="V30" i="36"/>
  <c r="W26" i="36" s="1"/>
  <c r="W28" i="36" s="1"/>
  <c r="V30" i="22"/>
  <c r="W26" i="22" s="1"/>
  <c r="W28" i="22" s="1"/>
  <c r="W29" i="22" s="1"/>
  <c r="W31" i="22" s="1"/>
  <c r="W32" i="22" s="1"/>
  <c r="V34" i="22"/>
  <c r="V35" i="22" s="1"/>
  <c r="V36" i="22" s="1"/>
  <c r="V37" i="22" s="1"/>
  <c r="V38" i="22"/>
  <c r="V39" i="22" s="1"/>
  <c r="V40" i="22" s="1"/>
  <c r="V41" i="22" s="1"/>
  <c r="X39" i="34"/>
  <c r="X40" i="34" s="1"/>
  <c r="X41" i="34" s="1"/>
  <c r="X42" i="34" s="1"/>
  <c r="X35" i="34"/>
  <c r="X36" i="34" s="1"/>
  <c r="X37" i="34" s="1"/>
  <c r="X38" i="34" s="1"/>
  <c r="X31" i="34"/>
  <c r="Y27" i="34" s="1"/>
  <c r="Y29" i="34" s="1"/>
  <c r="V29" i="32"/>
  <c r="V31" i="32" s="1"/>
  <c r="V32" i="32" s="1"/>
  <c r="X29" i="35" l="1"/>
  <c r="X31" i="35" s="1"/>
  <c r="X32" i="35" s="1"/>
  <c r="W29" i="36"/>
  <c r="W31" i="36" s="1"/>
  <c r="W32" i="36" s="1"/>
  <c r="Y38" i="37"/>
  <c r="Y39" i="37" s="1"/>
  <c r="Y40" i="37" s="1"/>
  <c r="Y41" i="37" s="1"/>
  <c r="Y34" i="37"/>
  <c r="Y35" i="37" s="1"/>
  <c r="Y36" i="37" s="1"/>
  <c r="Y37" i="37" s="1"/>
  <c r="Y29" i="38"/>
  <c r="Y31" i="38" s="1"/>
  <c r="Y32" i="38" s="1"/>
  <c r="AA38" i="39"/>
  <c r="AA39" i="39" s="1"/>
  <c r="AA40" i="39" s="1"/>
  <c r="AA41" i="39" s="1"/>
  <c r="AA34" i="39"/>
  <c r="AA35" i="39" s="1"/>
  <c r="AA36" i="39" s="1"/>
  <c r="AA37" i="39" s="1"/>
  <c r="Y30" i="37"/>
  <c r="Z26" i="37" s="1"/>
  <c r="Z28" i="37" s="1"/>
  <c r="AA30" i="39"/>
  <c r="AB26" i="39" s="1"/>
  <c r="AB28" i="39" s="1"/>
  <c r="W30" i="22"/>
  <c r="X26" i="22" s="1"/>
  <c r="X28" i="22" s="1"/>
  <c r="W34" i="22"/>
  <c r="W35" i="22" s="1"/>
  <c r="W36" i="22" s="1"/>
  <c r="W37" i="22" s="1"/>
  <c r="W38" i="22"/>
  <c r="W39" i="22" s="1"/>
  <c r="W40" i="22" s="1"/>
  <c r="W41" i="22" s="1"/>
  <c r="V38" i="32"/>
  <c r="V39" i="32" s="1"/>
  <c r="V40" i="32" s="1"/>
  <c r="V41" i="32" s="1"/>
  <c r="V34" i="32"/>
  <c r="V35" i="32" s="1"/>
  <c r="V36" i="32" s="1"/>
  <c r="V37" i="32" s="1"/>
  <c r="V30" i="32"/>
  <c r="W26" i="32" s="1"/>
  <c r="W28" i="32" s="1"/>
  <c r="Y30" i="34"/>
  <c r="Y32" i="34" s="1"/>
  <c r="Y33" i="34" s="1"/>
  <c r="AB29" i="39" l="1"/>
  <c r="AB31" i="39" s="1"/>
  <c r="AB32" i="39" s="1"/>
  <c r="W38" i="36"/>
  <c r="W39" i="36" s="1"/>
  <c r="W40" i="36" s="1"/>
  <c r="W41" i="36" s="1"/>
  <c r="W34" i="36"/>
  <c r="W35" i="36" s="1"/>
  <c r="W36" i="36" s="1"/>
  <c r="W37" i="36" s="1"/>
  <c r="Y30" i="38"/>
  <c r="Z26" i="38" s="1"/>
  <c r="Z28" i="38" s="1"/>
  <c r="Z29" i="37"/>
  <c r="Z31" i="37" s="1"/>
  <c r="Z32" i="37" s="1"/>
  <c r="W30" i="36"/>
  <c r="X26" i="36" s="1"/>
  <c r="X28" i="36" s="1"/>
  <c r="X34" i="35"/>
  <c r="X35" i="35" s="1"/>
  <c r="X36" i="35" s="1"/>
  <c r="X37" i="35" s="1"/>
  <c r="X38" i="35"/>
  <c r="X39" i="35" s="1"/>
  <c r="X40" i="35" s="1"/>
  <c r="X41" i="35" s="1"/>
  <c r="Y38" i="38"/>
  <c r="Y39" i="38" s="1"/>
  <c r="Y40" i="38" s="1"/>
  <c r="Y41" i="38" s="1"/>
  <c r="Y34" i="38"/>
  <c r="Y35" i="38" s="1"/>
  <c r="Y36" i="38" s="1"/>
  <c r="Y37" i="38" s="1"/>
  <c r="X30" i="35"/>
  <c r="Y26" i="35" s="1"/>
  <c r="Y28" i="35" s="1"/>
  <c r="X29" i="22"/>
  <c r="X31" i="22" s="1"/>
  <c r="X32" i="22" s="1"/>
  <c r="Y39" i="34"/>
  <c r="Y40" i="34" s="1"/>
  <c r="Y41" i="34" s="1"/>
  <c r="Y42" i="34" s="1"/>
  <c r="Y35" i="34"/>
  <c r="Y36" i="34" s="1"/>
  <c r="Y37" i="34" s="1"/>
  <c r="Y38" i="34" s="1"/>
  <c r="Y31" i="34"/>
  <c r="Z27" i="34" s="1"/>
  <c r="Z29" i="34" s="1"/>
  <c r="W29" i="32"/>
  <c r="W31" i="32" s="1"/>
  <c r="W32" i="32" s="1"/>
  <c r="AB30" i="39" l="1"/>
  <c r="AC26" i="39" s="1"/>
  <c r="AC28" i="39" s="1"/>
  <c r="AC29" i="39" s="1"/>
  <c r="AC31" i="39" s="1"/>
  <c r="AC32" i="39" s="1"/>
  <c r="Z30" i="37"/>
  <c r="AA26" i="37" s="1"/>
  <c r="AA28" i="37" s="1"/>
  <c r="AA29" i="37" s="1"/>
  <c r="AA31" i="37" s="1"/>
  <c r="AA32" i="37" s="1"/>
  <c r="X29" i="36"/>
  <c r="X31" i="36" s="1"/>
  <c r="X32" i="36" s="1"/>
  <c r="Z34" i="37"/>
  <c r="Z35" i="37" s="1"/>
  <c r="Z36" i="37" s="1"/>
  <c r="Z37" i="37" s="1"/>
  <c r="Z38" i="37"/>
  <c r="Z39" i="37" s="1"/>
  <c r="Z40" i="37" s="1"/>
  <c r="Z41" i="37" s="1"/>
  <c r="Z29" i="38"/>
  <c r="Z31" i="38" s="1"/>
  <c r="Z32" i="38" s="1"/>
  <c r="Y29" i="35"/>
  <c r="Y31" i="35" s="1"/>
  <c r="Y32" i="35" s="1"/>
  <c r="AB34" i="39"/>
  <c r="AB35" i="39" s="1"/>
  <c r="AB36" i="39" s="1"/>
  <c r="AB37" i="39" s="1"/>
  <c r="AB38" i="39"/>
  <c r="AB39" i="39" s="1"/>
  <c r="AB40" i="39" s="1"/>
  <c r="AB41" i="39" s="1"/>
  <c r="X30" i="22"/>
  <c r="Y26" i="22" s="1"/>
  <c r="Y28" i="22" s="1"/>
  <c r="Y29" i="22" s="1"/>
  <c r="Y31" i="22" s="1"/>
  <c r="Y32" i="22" s="1"/>
  <c r="X34" i="22"/>
  <c r="X35" i="22" s="1"/>
  <c r="X36" i="22" s="1"/>
  <c r="X37" i="22" s="1"/>
  <c r="X38" i="22"/>
  <c r="X39" i="22" s="1"/>
  <c r="X40" i="22" s="1"/>
  <c r="X41" i="22" s="1"/>
  <c r="W38" i="32"/>
  <c r="W39" i="32" s="1"/>
  <c r="W40" i="32" s="1"/>
  <c r="W41" i="32" s="1"/>
  <c r="W34" i="32"/>
  <c r="W35" i="32" s="1"/>
  <c r="W36" i="32" s="1"/>
  <c r="W37" i="32" s="1"/>
  <c r="W30" i="32"/>
  <c r="X26" i="32" s="1"/>
  <c r="X28" i="32" s="1"/>
  <c r="Z30" i="34"/>
  <c r="Z32" i="34" s="1"/>
  <c r="Z33" i="34" s="1"/>
  <c r="AA30" i="37" l="1"/>
  <c r="AB26" i="37" s="1"/>
  <c r="AB28" i="37" s="1"/>
  <c r="AB29" i="37" s="1"/>
  <c r="AB31" i="37" s="1"/>
  <c r="AB32" i="37" s="1"/>
  <c r="X30" i="36"/>
  <c r="Y26" i="36" s="1"/>
  <c r="Y28" i="36" s="1"/>
  <c r="Y29" i="36" s="1"/>
  <c r="Y31" i="36" s="1"/>
  <c r="Y32" i="36" s="1"/>
  <c r="AC30" i="39"/>
  <c r="AD26" i="39" s="1"/>
  <c r="AD28" i="39" s="1"/>
  <c r="AC38" i="39"/>
  <c r="AC39" i="39" s="1"/>
  <c r="AC40" i="39" s="1"/>
  <c r="AC41" i="39" s="1"/>
  <c r="AC34" i="39"/>
  <c r="AC35" i="39" s="1"/>
  <c r="AC36" i="39" s="1"/>
  <c r="AC37" i="39" s="1"/>
  <c r="Z38" i="38"/>
  <c r="Z39" i="38" s="1"/>
  <c r="Z40" i="38" s="1"/>
  <c r="Z41" i="38" s="1"/>
  <c r="Z34" i="38"/>
  <c r="Z35" i="38" s="1"/>
  <c r="Z36" i="38" s="1"/>
  <c r="Z37" i="38" s="1"/>
  <c r="Z30" i="38"/>
  <c r="AA26" i="38" s="1"/>
  <c r="AA28" i="38" s="1"/>
  <c r="Y30" i="35"/>
  <c r="Z26" i="35" s="1"/>
  <c r="Z28" i="35" s="1"/>
  <c r="AA34" i="37"/>
  <c r="AA35" i="37" s="1"/>
  <c r="AA36" i="37" s="1"/>
  <c r="AA37" i="37" s="1"/>
  <c r="AA38" i="37"/>
  <c r="AA39" i="37" s="1"/>
  <c r="AA40" i="37" s="1"/>
  <c r="AA41" i="37" s="1"/>
  <c r="X38" i="36"/>
  <c r="X39" i="36" s="1"/>
  <c r="X40" i="36" s="1"/>
  <c r="X41" i="36" s="1"/>
  <c r="X34" i="36"/>
  <c r="X35" i="36" s="1"/>
  <c r="X36" i="36" s="1"/>
  <c r="X37" i="36" s="1"/>
  <c r="Y38" i="35"/>
  <c r="Y39" i="35" s="1"/>
  <c r="Y40" i="35" s="1"/>
  <c r="Y41" i="35" s="1"/>
  <c r="Y34" i="35"/>
  <c r="Y35" i="35" s="1"/>
  <c r="Y36" i="35" s="1"/>
  <c r="Y37" i="35" s="1"/>
  <c r="Y30" i="22"/>
  <c r="Z26" i="22" s="1"/>
  <c r="Z28" i="22" s="1"/>
  <c r="Y34" i="22"/>
  <c r="Y35" i="22" s="1"/>
  <c r="Y36" i="22" s="1"/>
  <c r="Y37" i="22" s="1"/>
  <c r="Y38" i="22"/>
  <c r="Y39" i="22" s="1"/>
  <c r="Y40" i="22" s="1"/>
  <c r="Y41" i="22" s="1"/>
  <c r="Z39" i="34"/>
  <c r="Z40" i="34" s="1"/>
  <c r="Z41" i="34" s="1"/>
  <c r="Z42" i="34" s="1"/>
  <c r="Z35" i="34"/>
  <c r="Z36" i="34" s="1"/>
  <c r="Z37" i="34" s="1"/>
  <c r="Z38" i="34" s="1"/>
  <c r="Z31" i="34"/>
  <c r="AA27" i="34" s="1"/>
  <c r="AA29" i="34" s="1"/>
  <c r="X29" i="32"/>
  <c r="X31" i="32" s="1"/>
  <c r="X32" i="32" s="1"/>
  <c r="Y30" i="36" l="1"/>
  <c r="Z26" i="36" s="1"/>
  <c r="Z28" i="36" s="1"/>
  <c r="Z29" i="36" s="1"/>
  <c r="Z31" i="36" s="1"/>
  <c r="Z32" i="36" s="1"/>
  <c r="AB30" i="37"/>
  <c r="AC26" i="37" s="1"/>
  <c r="AC28" i="37" s="1"/>
  <c r="AA29" i="38"/>
  <c r="AA31" i="38" s="1"/>
  <c r="AA32" i="38" s="1"/>
  <c r="AB38" i="37"/>
  <c r="AB39" i="37" s="1"/>
  <c r="AB40" i="37" s="1"/>
  <c r="AB41" i="37" s="1"/>
  <c r="AB34" i="37"/>
  <c r="AB35" i="37" s="1"/>
  <c r="AB36" i="37" s="1"/>
  <c r="AB37" i="37" s="1"/>
  <c r="Z29" i="35"/>
  <c r="Z31" i="35" s="1"/>
  <c r="Z32" i="35" s="1"/>
  <c r="Y34" i="36"/>
  <c r="Y35" i="36" s="1"/>
  <c r="Y36" i="36" s="1"/>
  <c r="Y37" i="36" s="1"/>
  <c r="Y38" i="36"/>
  <c r="Y39" i="36" s="1"/>
  <c r="Y40" i="36" s="1"/>
  <c r="Y41" i="36" s="1"/>
  <c r="AD29" i="39"/>
  <c r="AD31" i="39" s="1"/>
  <c r="AD32" i="39" s="1"/>
  <c r="Z29" i="22"/>
  <c r="Z31" i="22" s="1"/>
  <c r="Z32" i="22" s="1"/>
  <c r="X38" i="32"/>
  <c r="X39" i="32" s="1"/>
  <c r="X40" i="32" s="1"/>
  <c r="X41" i="32" s="1"/>
  <c r="X34" i="32"/>
  <c r="X35" i="32" s="1"/>
  <c r="X36" i="32" s="1"/>
  <c r="X37" i="32" s="1"/>
  <c r="X30" i="32"/>
  <c r="Y26" i="32" s="1"/>
  <c r="Y28" i="32" s="1"/>
  <c r="AA30" i="34"/>
  <c r="AA32" i="34" s="1"/>
  <c r="AA33" i="34" s="1"/>
  <c r="Z30" i="35" l="1"/>
  <c r="AA26" i="35" s="1"/>
  <c r="AA28" i="35" s="1"/>
  <c r="AA29" i="35" s="1"/>
  <c r="AA31" i="35" s="1"/>
  <c r="AA32" i="35" s="1"/>
  <c r="AA30" i="38"/>
  <c r="AB26" i="38" s="1"/>
  <c r="AB28" i="38" s="1"/>
  <c r="AD30" i="39"/>
  <c r="AE26" i="39" s="1"/>
  <c r="AE28" i="39" s="1"/>
  <c r="AA34" i="38"/>
  <c r="AA35" i="38" s="1"/>
  <c r="AA36" i="38" s="1"/>
  <c r="AA37" i="38" s="1"/>
  <c r="AA38" i="38"/>
  <c r="AA39" i="38" s="1"/>
  <c r="AA40" i="38" s="1"/>
  <c r="AA41" i="38" s="1"/>
  <c r="AC29" i="37"/>
  <c r="AC31" i="37" s="1"/>
  <c r="AC32" i="37" s="1"/>
  <c r="Z34" i="36"/>
  <c r="Z35" i="36" s="1"/>
  <c r="Z36" i="36" s="1"/>
  <c r="Z37" i="36" s="1"/>
  <c r="Z38" i="36"/>
  <c r="Z39" i="36" s="1"/>
  <c r="Z40" i="36" s="1"/>
  <c r="Z41" i="36" s="1"/>
  <c r="AD34" i="39"/>
  <c r="AD35" i="39" s="1"/>
  <c r="AD36" i="39" s="1"/>
  <c r="AD37" i="39" s="1"/>
  <c r="AD38" i="39"/>
  <c r="AD39" i="39" s="1"/>
  <c r="AD40" i="39" s="1"/>
  <c r="AD41" i="39" s="1"/>
  <c r="Z38" i="35"/>
  <c r="Z39" i="35" s="1"/>
  <c r="Z40" i="35" s="1"/>
  <c r="Z41" i="35" s="1"/>
  <c r="Z34" i="35"/>
  <c r="Z35" i="35" s="1"/>
  <c r="Z36" i="35" s="1"/>
  <c r="Z37" i="35" s="1"/>
  <c r="Z30" i="36"/>
  <c r="AA26" i="36" s="1"/>
  <c r="AA28" i="36" s="1"/>
  <c r="Z30" i="22"/>
  <c r="AA26" i="22" s="1"/>
  <c r="AA28" i="22" s="1"/>
  <c r="AA29" i="22" s="1"/>
  <c r="AA31" i="22" s="1"/>
  <c r="AA32" i="22" s="1"/>
  <c r="Z34" i="22"/>
  <c r="Z35" i="22" s="1"/>
  <c r="Z36" i="22" s="1"/>
  <c r="Z37" i="22" s="1"/>
  <c r="Z38" i="22"/>
  <c r="Z39" i="22" s="1"/>
  <c r="Z40" i="22" s="1"/>
  <c r="Z41" i="22" s="1"/>
  <c r="AA39" i="34"/>
  <c r="AA40" i="34" s="1"/>
  <c r="AA41" i="34" s="1"/>
  <c r="AA42" i="34" s="1"/>
  <c r="AA35" i="34"/>
  <c r="AA36" i="34" s="1"/>
  <c r="AA37" i="34" s="1"/>
  <c r="AA38" i="34" s="1"/>
  <c r="AA31" i="34"/>
  <c r="AB27" i="34" s="1"/>
  <c r="AB29" i="34" s="1"/>
  <c r="Y29" i="32"/>
  <c r="Y31" i="32" s="1"/>
  <c r="Y32" i="32" s="1"/>
  <c r="AB29" i="38" l="1"/>
  <c r="AB31" i="38" s="1"/>
  <c r="AB32" i="38" s="1"/>
  <c r="AB34" i="38" s="1"/>
  <c r="AB35" i="38" s="1"/>
  <c r="AB36" i="38" s="1"/>
  <c r="AB37" i="38" s="1"/>
  <c r="AC30" i="37"/>
  <c r="AD26" i="37" s="1"/>
  <c r="AD28" i="37" s="1"/>
  <c r="AA29" i="36"/>
  <c r="AA31" i="36" s="1"/>
  <c r="AA32" i="36" s="1"/>
  <c r="AA34" i="35"/>
  <c r="AA35" i="35" s="1"/>
  <c r="AA36" i="35" s="1"/>
  <c r="AA37" i="35" s="1"/>
  <c r="AA38" i="35"/>
  <c r="AA39" i="35" s="1"/>
  <c r="AA40" i="35" s="1"/>
  <c r="AA41" i="35" s="1"/>
  <c r="AA30" i="35"/>
  <c r="AB26" i="35" s="1"/>
  <c r="AB28" i="35" s="1"/>
  <c r="AC34" i="37"/>
  <c r="AC35" i="37" s="1"/>
  <c r="AC36" i="37" s="1"/>
  <c r="AC37" i="37" s="1"/>
  <c r="AC38" i="37"/>
  <c r="AC39" i="37" s="1"/>
  <c r="AC40" i="37" s="1"/>
  <c r="AC41" i="37" s="1"/>
  <c r="AE29" i="39"/>
  <c r="AE31" i="39" s="1"/>
  <c r="AE32" i="39" s="1"/>
  <c r="AA30" i="22"/>
  <c r="AB26" i="22" s="1"/>
  <c r="AB28" i="22" s="1"/>
  <c r="AA34" i="22"/>
  <c r="AA35" i="22" s="1"/>
  <c r="AA36" i="22" s="1"/>
  <c r="AA37" i="22" s="1"/>
  <c r="AA38" i="22"/>
  <c r="AA39" i="22" s="1"/>
  <c r="AA40" i="22" s="1"/>
  <c r="AA41" i="22" s="1"/>
  <c r="Y38" i="32"/>
  <c r="Y39" i="32" s="1"/>
  <c r="Y40" i="32" s="1"/>
  <c r="Y41" i="32" s="1"/>
  <c r="Y34" i="32"/>
  <c r="Y35" i="32" s="1"/>
  <c r="Y36" i="32" s="1"/>
  <c r="Y37" i="32" s="1"/>
  <c r="Y30" i="32"/>
  <c r="Z26" i="32" s="1"/>
  <c r="Z28" i="32" s="1"/>
  <c r="AB30" i="34"/>
  <c r="AB32" i="34" s="1"/>
  <c r="AB33" i="34" s="1"/>
  <c r="AB38" i="38" l="1"/>
  <c r="AB39" i="38" s="1"/>
  <c r="AB40" i="38" s="1"/>
  <c r="AB41" i="38" s="1"/>
  <c r="AB30" i="38"/>
  <c r="AC26" i="38" s="1"/>
  <c r="AC28" i="38" s="1"/>
  <c r="AC29" i="38" s="1"/>
  <c r="AC31" i="38" s="1"/>
  <c r="AC32" i="38" s="1"/>
  <c r="AC38" i="38" s="1"/>
  <c r="AC39" i="38" s="1"/>
  <c r="AC40" i="38" s="1"/>
  <c r="AE34" i="39"/>
  <c r="AE35" i="39" s="1"/>
  <c r="AE36" i="39" s="1"/>
  <c r="AE37" i="39" s="1"/>
  <c r="AE38" i="39"/>
  <c r="AE39" i="39" s="1"/>
  <c r="AE40" i="39" s="1"/>
  <c r="AE41" i="39" s="1"/>
  <c r="AE30" i="39"/>
  <c r="AF26" i="39" s="1"/>
  <c r="AF28" i="39" s="1"/>
  <c r="AB29" i="35"/>
  <c r="AB31" i="35" s="1"/>
  <c r="AB32" i="35" s="1"/>
  <c r="AA38" i="36"/>
  <c r="AA39" i="36" s="1"/>
  <c r="AA40" i="36" s="1"/>
  <c r="AA41" i="36" s="1"/>
  <c r="AA34" i="36"/>
  <c r="AA35" i="36" s="1"/>
  <c r="AA36" i="36" s="1"/>
  <c r="AA37" i="36" s="1"/>
  <c r="AA30" i="36"/>
  <c r="AB26" i="36" s="1"/>
  <c r="AB28" i="36" s="1"/>
  <c r="AD29" i="37"/>
  <c r="AD31" i="37" s="1"/>
  <c r="AD32" i="37" s="1"/>
  <c r="AB29" i="22"/>
  <c r="AB31" i="22" s="1"/>
  <c r="AB32" i="22" s="1"/>
  <c r="AB39" i="34"/>
  <c r="AB40" i="34" s="1"/>
  <c r="AB41" i="34" s="1"/>
  <c r="AB42" i="34" s="1"/>
  <c r="AB35" i="34"/>
  <c r="AB36" i="34" s="1"/>
  <c r="AB37" i="34" s="1"/>
  <c r="AB38" i="34" s="1"/>
  <c r="AB31" i="34"/>
  <c r="AC27" i="34" s="1"/>
  <c r="AC29" i="34" s="1"/>
  <c r="Z29" i="32"/>
  <c r="Z31" i="32" s="1"/>
  <c r="Z32" i="32" s="1"/>
  <c r="AB30" i="35" l="1"/>
  <c r="AC26" i="35" s="1"/>
  <c r="AC28" i="35" s="1"/>
  <c r="AC29" i="35" s="1"/>
  <c r="AC31" i="35" s="1"/>
  <c r="AC32" i="35" s="1"/>
  <c r="AC41" i="38"/>
  <c r="AC34" i="38"/>
  <c r="AC35" i="38" s="1"/>
  <c r="AC36" i="38" s="1"/>
  <c r="AC37" i="38" s="1"/>
  <c r="AC30" i="38"/>
  <c r="AD26" i="38" s="1"/>
  <c r="AD28" i="38" s="1"/>
  <c r="AB34" i="35"/>
  <c r="AB35" i="35" s="1"/>
  <c r="AB36" i="35" s="1"/>
  <c r="AB37" i="35" s="1"/>
  <c r="AB38" i="35"/>
  <c r="AB39" i="35" s="1"/>
  <c r="AB40" i="35" s="1"/>
  <c r="AB41" i="35" s="1"/>
  <c r="AF29" i="39"/>
  <c r="AF31" i="39" s="1"/>
  <c r="AF32" i="39" s="1"/>
  <c r="AD34" i="37"/>
  <c r="AD35" i="37" s="1"/>
  <c r="AD36" i="37" s="1"/>
  <c r="AD37" i="37" s="1"/>
  <c r="AD38" i="37"/>
  <c r="AD39" i="37" s="1"/>
  <c r="AD40" i="37" s="1"/>
  <c r="AD41" i="37" s="1"/>
  <c r="AD30" i="37"/>
  <c r="AE26" i="37" s="1"/>
  <c r="AE28" i="37" s="1"/>
  <c r="AB29" i="36"/>
  <c r="AB31" i="36" s="1"/>
  <c r="AB32" i="36" s="1"/>
  <c r="AB30" i="22"/>
  <c r="AC26" i="22" s="1"/>
  <c r="AC28" i="22" s="1"/>
  <c r="AC29" i="22" s="1"/>
  <c r="AC31" i="22" s="1"/>
  <c r="AC32" i="22" s="1"/>
  <c r="AB34" i="22"/>
  <c r="AB35" i="22" s="1"/>
  <c r="AB36" i="22" s="1"/>
  <c r="AB37" i="22" s="1"/>
  <c r="AB38" i="22"/>
  <c r="AB39" i="22" s="1"/>
  <c r="AB40" i="22" s="1"/>
  <c r="AB41" i="22" s="1"/>
  <c r="Z38" i="32"/>
  <c r="Z39" i="32" s="1"/>
  <c r="Z40" i="32" s="1"/>
  <c r="Z41" i="32" s="1"/>
  <c r="Z34" i="32"/>
  <c r="Z35" i="32" s="1"/>
  <c r="Z36" i="32" s="1"/>
  <c r="Z37" i="32" s="1"/>
  <c r="Z30" i="32"/>
  <c r="AA26" i="32" s="1"/>
  <c r="AA28" i="32" s="1"/>
  <c r="AC30" i="34"/>
  <c r="AC32" i="34" s="1"/>
  <c r="AC33" i="34" s="1"/>
  <c r="AD29" i="38" l="1"/>
  <c r="AD31" i="38" s="1"/>
  <c r="AD32" i="38" s="1"/>
  <c r="AF30" i="39"/>
  <c r="AB38" i="36"/>
  <c r="AB39" i="36" s="1"/>
  <c r="AB40" i="36" s="1"/>
  <c r="AB41" i="36" s="1"/>
  <c r="AB34" i="36"/>
  <c r="AB35" i="36" s="1"/>
  <c r="AB36" i="36" s="1"/>
  <c r="AB37" i="36" s="1"/>
  <c r="AB30" i="36"/>
  <c r="AC26" i="36" s="1"/>
  <c r="AC28" i="36" s="1"/>
  <c r="AE29" i="37"/>
  <c r="AE31" i="37" s="1"/>
  <c r="AE32" i="37" s="1"/>
  <c r="AC38" i="35"/>
  <c r="AC39" i="35" s="1"/>
  <c r="AC40" i="35" s="1"/>
  <c r="AC41" i="35" s="1"/>
  <c r="AC34" i="35"/>
  <c r="AC35" i="35" s="1"/>
  <c r="AC36" i="35" s="1"/>
  <c r="AC37" i="35" s="1"/>
  <c r="AC30" i="35"/>
  <c r="AD26" i="35" s="1"/>
  <c r="AD28" i="35" s="1"/>
  <c r="AF38" i="39"/>
  <c r="AF39" i="39" s="1"/>
  <c r="AF40" i="39" s="1"/>
  <c r="AF41" i="39" s="1"/>
  <c r="G11" i="39" s="1"/>
  <c r="AF34" i="39"/>
  <c r="AF35" i="39" s="1"/>
  <c r="AF36" i="39" s="1"/>
  <c r="AF37" i="39" s="1"/>
  <c r="AC38" i="22"/>
  <c r="AC39" i="22" s="1"/>
  <c r="AC40" i="22" s="1"/>
  <c r="AC41" i="22" s="1"/>
  <c r="AC34" i="22"/>
  <c r="AC35" i="22" s="1"/>
  <c r="AC36" i="22" s="1"/>
  <c r="AC37" i="22" s="1"/>
  <c r="AC30" i="22"/>
  <c r="AD26" i="22" s="1"/>
  <c r="AD28" i="22" s="1"/>
  <c r="AC39" i="34"/>
  <c r="AC40" i="34" s="1"/>
  <c r="AC41" i="34" s="1"/>
  <c r="AC42" i="34" s="1"/>
  <c r="AC35" i="34"/>
  <c r="AC36" i="34" s="1"/>
  <c r="AC37" i="34" s="1"/>
  <c r="AC38" i="34" s="1"/>
  <c r="AC31" i="34"/>
  <c r="AD27" i="34" s="1"/>
  <c r="AD29" i="34" s="1"/>
  <c r="AA29" i="32"/>
  <c r="AA31" i="32" s="1"/>
  <c r="AA32" i="32" s="1"/>
  <c r="AD34" i="38" l="1"/>
  <c r="AD35" i="38" s="1"/>
  <c r="AD36" i="38" s="1"/>
  <c r="AD37" i="38" s="1"/>
  <c r="AD38" i="38"/>
  <c r="AD39" i="38" s="1"/>
  <c r="AD40" i="38" s="1"/>
  <c r="AD41" i="38" s="1"/>
  <c r="AD30" i="38"/>
  <c r="AE26" i="38" s="1"/>
  <c r="AE28" i="38" s="1"/>
  <c r="AE38" i="37"/>
  <c r="AE39" i="37" s="1"/>
  <c r="AE40" i="37" s="1"/>
  <c r="AE41" i="37" s="1"/>
  <c r="AE34" i="37"/>
  <c r="AE35" i="37" s="1"/>
  <c r="AE36" i="37" s="1"/>
  <c r="AE37" i="37" s="1"/>
  <c r="AE30" i="37"/>
  <c r="AF26" i="37" s="1"/>
  <c r="AF28" i="37" s="1"/>
  <c r="AD29" i="35"/>
  <c r="AD31" i="35" s="1"/>
  <c r="AD32" i="35" s="1"/>
  <c r="AC29" i="36"/>
  <c r="AC31" i="36" s="1"/>
  <c r="AC32" i="36" s="1"/>
  <c r="AD29" i="22"/>
  <c r="AD31" i="22" s="1"/>
  <c r="AD32" i="22" s="1"/>
  <c r="AA34" i="32"/>
  <c r="AA35" i="32" s="1"/>
  <c r="AA36" i="32" s="1"/>
  <c r="AA37" i="32" s="1"/>
  <c r="AA38" i="32"/>
  <c r="AA39" i="32" s="1"/>
  <c r="AA40" i="32" s="1"/>
  <c r="AA41" i="32" s="1"/>
  <c r="AA30" i="32"/>
  <c r="AB26" i="32" s="1"/>
  <c r="AB28" i="32" s="1"/>
  <c r="AD30" i="34"/>
  <c r="AD32" i="34" s="1"/>
  <c r="AD33" i="34" s="1"/>
  <c r="AF29" i="37" l="1"/>
  <c r="AF31" i="37" s="1"/>
  <c r="AF32" i="37" s="1"/>
  <c r="AE29" i="38"/>
  <c r="AE31" i="38" s="1"/>
  <c r="AE32" i="38" s="1"/>
  <c r="AC38" i="36"/>
  <c r="AC39" i="36" s="1"/>
  <c r="AC40" i="36" s="1"/>
  <c r="AC41" i="36" s="1"/>
  <c r="AC34" i="36"/>
  <c r="AC35" i="36" s="1"/>
  <c r="AC36" i="36" s="1"/>
  <c r="AC37" i="36" s="1"/>
  <c r="AD34" i="35"/>
  <c r="AD35" i="35" s="1"/>
  <c r="AD36" i="35" s="1"/>
  <c r="AD37" i="35" s="1"/>
  <c r="AD38" i="35"/>
  <c r="AD39" i="35" s="1"/>
  <c r="AD40" i="35" s="1"/>
  <c r="AD41" i="35" s="1"/>
  <c r="AD30" i="35"/>
  <c r="AE26" i="35" s="1"/>
  <c r="AE28" i="35" s="1"/>
  <c r="AC30" i="36"/>
  <c r="AD26" i="36" s="1"/>
  <c r="AD28" i="36" s="1"/>
  <c r="AD30" i="22"/>
  <c r="AE26" i="22" s="1"/>
  <c r="AE28" i="22" s="1"/>
  <c r="AE29" i="22" s="1"/>
  <c r="AE31" i="22" s="1"/>
  <c r="AE32" i="22" s="1"/>
  <c r="AD38" i="22"/>
  <c r="AD39" i="22" s="1"/>
  <c r="AD40" i="22" s="1"/>
  <c r="AD41" i="22" s="1"/>
  <c r="AD34" i="22"/>
  <c r="AD35" i="22" s="1"/>
  <c r="AD36" i="22" s="1"/>
  <c r="AD37" i="22" s="1"/>
  <c r="AD39" i="34"/>
  <c r="AD40" i="34" s="1"/>
  <c r="AD41" i="34" s="1"/>
  <c r="AD42" i="34" s="1"/>
  <c r="AD35" i="34"/>
  <c r="AD36" i="34" s="1"/>
  <c r="AD37" i="34" s="1"/>
  <c r="AD38" i="34" s="1"/>
  <c r="AD31" i="34"/>
  <c r="AE27" i="34" s="1"/>
  <c r="AE29" i="34" s="1"/>
  <c r="AB29" i="32"/>
  <c r="AB31" i="32" s="1"/>
  <c r="AB32" i="32" s="1"/>
  <c r="AF34" i="37" l="1"/>
  <c r="AF35" i="37" s="1"/>
  <c r="AF36" i="37" s="1"/>
  <c r="AF37" i="37" s="1"/>
  <c r="AF38" i="37"/>
  <c r="AF39" i="37" s="1"/>
  <c r="AF40" i="37" s="1"/>
  <c r="AF41" i="37" s="1"/>
  <c r="G11" i="37" s="1"/>
  <c r="AF30" i="37"/>
  <c r="AE30" i="38"/>
  <c r="AF26" i="38" s="1"/>
  <c r="AF28" i="38" s="1"/>
  <c r="AF29" i="38" s="1"/>
  <c r="AF31" i="38" s="1"/>
  <c r="AF32" i="38" s="1"/>
  <c r="AE34" i="38"/>
  <c r="AE35" i="38" s="1"/>
  <c r="AE36" i="38" s="1"/>
  <c r="AE37" i="38" s="1"/>
  <c r="AE38" i="38"/>
  <c r="AE39" i="38" s="1"/>
  <c r="AE40" i="38" s="1"/>
  <c r="AE41" i="38" s="1"/>
  <c r="AD29" i="36"/>
  <c r="AD31" i="36" s="1"/>
  <c r="AD32" i="36" s="1"/>
  <c r="AE29" i="35"/>
  <c r="AE31" i="35" s="1"/>
  <c r="AE32" i="35" s="1"/>
  <c r="AE30" i="22"/>
  <c r="AF26" i="22" s="1"/>
  <c r="AF28" i="22" s="1"/>
  <c r="AF29" i="22" s="1"/>
  <c r="AF31" i="22" s="1"/>
  <c r="AF32" i="22" s="1"/>
  <c r="AE34" i="22"/>
  <c r="AE35" i="22" s="1"/>
  <c r="AE36" i="22" s="1"/>
  <c r="AE37" i="22" s="1"/>
  <c r="AE38" i="22"/>
  <c r="AE39" i="22" s="1"/>
  <c r="AE40" i="22" s="1"/>
  <c r="AE41" i="22" s="1"/>
  <c r="AB38" i="32"/>
  <c r="AB39" i="32" s="1"/>
  <c r="AB40" i="32" s="1"/>
  <c r="AB41" i="32" s="1"/>
  <c r="AB34" i="32"/>
  <c r="AB35" i="32" s="1"/>
  <c r="AB36" i="32" s="1"/>
  <c r="AB37" i="32" s="1"/>
  <c r="AB30" i="32"/>
  <c r="AC26" i="32" s="1"/>
  <c r="AC28" i="32" s="1"/>
  <c r="AE30" i="34"/>
  <c r="AE32" i="34" s="1"/>
  <c r="AE33" i="34" s="1"/>
  <c r="AF30" i="38" l="1"/>
  <c r="AF34" i="38"/>
  <c r="AF35" i="38" s="1"/>
  <c r="AF36" i="38" s="1"/>
  <c r="AF37" i="38" s="1"/>
  <c r="AF38" i="38"/>
  <c r="AF39" i="38" s="1"/>
  <c r="AF40" i="38" s="1"/>
  <c r="AF41" i="38" s="1"/>
  <c r="G11" i="38" s="1"/>
  <c r="AE38" i="35"/>
  <c r="AE39" i="35" s="1"/>
  <c r="AE40" i="35" s="1"/>
  <c r="AE41" i="35" s="1"/>
  <c r="AE34" i="35"/>
  <c r="AE35" i="35" s="1"/>
  <c r="AE36" i="35" s="1"/>
  <c r="AE37" i="35" s="1"/>
  <c r="AE30" i="35"/>
  <c r="AF26" i="35" s="1"/>
  <c r="AF28" i="35" s="1"/>
  <c r="AD38" i="36"/>
  <c r="AD39" i="36" s="1"/>
  <c r="AD40" i="36" s="1"/>
  <c r="AD41" i="36" s="1"/>
  <c r="AD34" i="36"/>
  <c r="AD35" i="36" s="1"/>
  <c r="AD36" i="36" s="1"/>
  <c r="AD37" i="36" s="1"/>
  <c r="AD30" i="36"/>
  <c r="AE26" i="36" s="1"/>
  <c r="AE28" i="36" s="1"/>
  <c r="AF30" i="22"/>
  <c r="AF38" i="22"/>
  <c r="AF39" i="22" s="1"/>
  <c r="AF40" i="22" s="1"/>
  <c r="AF41" i="22" s="1"/>
  <c r="G11" i="22" s="1"/>
  <c r="AF34" i="22"/>
  <c r="AF35" i="22" s="1"/>
  <c r="AF36" i="22" s="1"/>
  <c r="AF37" i="22" s="1"/>
  <c r="AG37" i="22" s="1"/>
  <c r="AH37" i="22" s="1"/>
  <c r="AI37" i="22" s="1"/>
  <c r="AJ37" i="22" s="1"/>
  <c r="AK37" i="22" s="1"/>
  <c r="AL37" i="22" s="1"/>
  <c r="AM37" i="22" s="1"/>
  <c r="AN37" i="22" s="1"/>
  <c r="AO37" i="22" s="1"/>
  <c r="AP37" i="22" s="1"/>
  <c r="AE31" i="34"/>
  <c r="AF27" i="34" s="1"/>
  <c r="AF29" i="34" s="1"/>
  <c r="AC29" i="32"/>
  <c r="AC31" i="32" s="1"/>
  <c r="AC32" i="32" s="1"/>
  <c r="AE39" i="34"/>
  <c r="AE40" i="34" s="1"/>
  <c r="AE41" i="34" s="1"/>
  <c r="AE42" i="34" s="1"/>
  <c r="AE35" i="34"/>
  <c r="AE36" i="34" s="1"/>
  <c r="AE37" i="34" s="1"/>
  <c r="AE38" i="34" s="1"/>
  <c r="AF29" i="35" l="1"/>
  <c r="AF31" i="35" s="1"/>
  <c r="AF32" i="35" s="1"/>
  <c r="AE29" i="36"/>
  <c r="AE31" i="36" s="1"/>
  <c r="AE32" i="36" s="1"/>
  <c r="AC30" i="32"/>
  <c r="AD26" i="32" s="1"/>
  <c r="AD28" i="32" s="1"/>
  <c r="AD29" i="32" s="1"/>
  <c r="AD31" i="32" s="1"/>
  <c r="AD32" i="32" s="1"/>
  <c r="AC34" i="32"/>
  <c r="AC35" i="32" s="1"/>
  <c r="AC36" i="32" s="1"/>
  <c r="AC37" i="32" s="1"/>
  <c r="AC38" i="32"/>
  <c r="AC39" i="32" s="1"/>
  <c r="AC40" i="32" s="1"/>
  <c r="AC41" i="32" s="1"/>
  <c r="AF30" i="34"/>
  <c r="AF32" i="34" s="1"/>
  <c r="AF33" i="34" s="1"/>
  <c r="AE38" i="36" l="1"/>
  <c r="AE39" i="36" s="1"/>
  <c r="AE40" i="36" s="1"/>
  <c r="AE41" i="36" s="1"/>
  <c r="AE34" i="36"/>
  <c r="AE35" i="36" s="1"/>
  <c r="AE36" i="36" s="1"/>
  <c r="AE37" i="36" s="1"/>
  <c r="AE30" i="36"/>
  <c r="AF26" i="36" s="1"/>
  <c r="AF28" i="36" s="1"/>
  <c r="AF38" i="35"/>
  <c r="AF39" i="35" s="1"/>
  <c r="AF40" i="35" s="1"/>
  <c r="AF41" i="35" s="1"/>
  <c r="G11" i="35" s="1"/>
  <c r="AF34" i="35"/>
  <c r="AF35" i="35" s="1"/>
  <c r="AF36" i="35" s="1"/>
  <c r="AF37" i="35" s="1"/>
  <c r="AF30" i="35"/>
  <c r="AD30" i="32"/>
  <c r="AE26" i="32" s="1"/>
  <c r="AE28" i="32" s="1"/>
  <c r="AE29" i="32" s="1"/>
  <c r="AE31" i="32" s="1"/>
  <c r="AE32" i="32" s="1"/>
  <c r="AF35" i="34"/>
  <c r="AF36" i="34" s="1"/>
  <c r="AF37" i="34" s="1"/>
  <c r="AF38" i="34" s="1"/>
  <c r="P45" i="34" s="1"/>
  <c r="AF39" i="34"/>
  <c r="AF40" i="34" s="1"/>
  <c r="AF41" i="34" s="1"/>
  <c r="AF42" i="34" s="1"/>
  <c r="G12" i="34" s="1"/>
  <c r="AF31" i="34"/>
  <c r="AD34" i="32"/>
  <c r="AD35" i="32" s="1"/>
  <c r="AD36" i="32" s="1"/>
  <c r="AD37" i="32" s="1"/>
  <c r="AD38" i="32"/>
  <c r="AD39" i="32" s="1"/>
  <c r="AD40" i="32" s="1"/>
  <c r="AD41" i="32" s="1"/>
  <c r="AF29" i="36" l="1"/>
  <c r="AF31" i="36" s="1"/>
  <c r="AF32" i="36" s="1"/>
  <c r="AE34" i="32"/>
  <c r="AE35" i="32" s="1"/>
  <c r="AE36" i="32" s="1"/>
  <c r="AE37" i="32" s="1"/>
  <c r="AE38" i="32"/>
  <c r="AE39" i="32" s="1"/>
  <c r="AE40" i="32" s="1"/>
  <c r="AE41" i="32" s="1"/>
  <c r="AE30" i="32"/>
  <c r="AF26" i="32" s="1"/>
  <c r="AF28" i="32" s="1"/>
  <c r="AF34" i="36" l="1"/>
  <c r="AF35" i="36" s="1"/>
  <c r="AF36" i="36" s="1"/>
  <c r="AF37" i="36" s="1"/>
  <c r="AF38" i="36"/>
  <c r="AF39" i="36" s="1"/>
  <c r="AF40" i="36" s="1"/>
  <c r="AF41" i="36" s="1"/>
  <c r="G11" i="36" s="1"/>
  <c r="AF30" i="36"/>
  <c r="AF29" i="32"/>
  <c r="AF31" i="32" s="1"/>
  <c r="AF32" i="32" s="1"/>
  <c r="AF38" i="32" l="1"/>
  <c r="AF39" i="32" s="1"/>
  <c r="AF40" i="32" s="1"/>
  <c r="AF41" i="32" s="1"/>
  <c r="G11" i="32" s="1"/>
  <c r="AF34" i="32"/>
  <c r="AF35" i="32" s="1"/>
  <c r="AF36" i="32" s="1"/>
  <c r="AF37" i="32" s="1"/>
  <c r="AF30" i="32"/>
</calcChain>
</file>

<file path=xl/sharedStrings.xml><?xml version="1.0" encoding="utf-8"?>
<sst xmlns="http://schemas.openxmlformats.org/spreadsheetml/2006/main" count="2248" uniqueCount="526">
  <si>
    <t>DRYREFORM</t>
  </si>
  <si>
    <t>HEAT2</t>
  </si>
  <si>
    <t>MTH2SR</t>
  </si>
  <si>
    <t>COOL2</t>
  </si>
  <si>
    <t>COMP1</t>
  </si>
  <si>
    <t>PUMP1</t>
  </si>
  <si>
    <t>HEAT1</t>
  </si>
  <si>
    <t>HEAT3</t>
  </si>
  <si>
    <t>MEOHSYN1</t>
  </si>
  <si>
    <t>COOL3</t>
  </si>
  <si>
    <t>FLASH1</t>
  </si>
  <si>
    <t>COMP2</t>
  </si>
  <si>
    <t>SEP1</t>
  </si>
  <si>
    <t>SEP2</t>
  </si>
  <si>
    <t>COMP3</t>
  </si>
  <si>
    <t>TURB</t>
  </si>
  <si>
    <t>STACK (FIRE-HEAD FOR BOILER)</t>
  </si>
  <si>
    <t>COOL1 (six tenth rule page 592 Seider)</t>
  </si>
  <si>
    <t>MEOH produced (kg/hr)</t>
  </si>
  <si>
    <t>sum (million USD)</t>
  </si>
  <si>
    <t>sum (million $)</t>
  </si>
  <si>
    <t>Utility cost ($/hr)</t>
  </si>
  <si>
    <t>CO2 emission from utility (kg/hr)</t>
  </si>
  <si>
    <t>Carbon tax ($/tonne CO2)</t>
  </si>
  <si>
    <t>SUM</t>
  </si>
  <si>
    <t>Downstream BFG replace by NG</t>
  </si>
  <si>
    <t>Annual cost to operate</t>
  </si>
  <si>
    <t>Annual operation hours:</t>
  </si>
  <si>
    <t>Operations (labor-related)</t>
  </si>
  <si>
    <t>Direct wages and benefits (DW&amp;B)</t>
  </si>
  <si>
    <t>$/hr</t>
  </si>
  <si>
    <t>$</t>
  </si>
  <si>
    <t>Direct salaries and benefits</t>
  </si>
  <si>
    <t>% of DW&amp;B</t>
  </si>
  <si>
    <t>Operating supplies and services</t>
  </si>
  <si>
    <t>Technical assistance to manufacturing</t>
  </si>
  <si>
    <t>Control laboratory</t>
  </si>
  <si>
    <t>Maintenance (M)</t>
  </si>
  <si>
    <t>Wages and benefits (MW&amp;B)</t>
  </si>
  <si>
    <t>% of CTDC</t>
  </si>
  <si>
    <t>Fluid handling process</t>
  </si>
  <si>
    <t>Solids-fluids handling process</t>
  </si>
  <si>
    <t>Solids-handling process</t>
  </si>
  <si>
    <t>Salaries and benefits</t>
  </si>
  <si>
    <t>% of MW&amp;B</t>
  </si>
  <si>
    <t>Materials and services</t>
  </si>
  <si>
    <t>Maintenance overhead</t>
  </si>
  <si>
    <t>Operating overhead</t>
  </si>
  <si>
    <t>General plant overhead</t>
  </si>
  <si>
    <t>% of M&amp;O-SW&amp;B</t>
  </si>
  <si>
    <t>Mechanical department services</t>
  </si>
  <si>
    <t>Employee relations department</t>
  </si>
  <si>
    <t>Business services</t>
  </si>
  <si>
    <t>Property taxes and insurance</t>
  </si>
  <si>
    <t>Depreciation</t>
  </si>
  <si>
    <t>Direct plant</t>
  </si>
  <si>
    <t xml:space="preserve">% of (CTDC-1.18Calloc </t>
  </si>
  <si>
    <t>Allocated plant</t>
  </si>
  <si>
    <t>% of 1.18 Calloc</t>
  </si>
  <si>
    <t>Calloc: allocated costs for utility plants and related facilities</t>
  </si>
  <si>
    <t>Rental fees</t>
  </si>
  <si>
    <t>Licensing fees</t>
  </si>
  <si>
    <t>Cost of Manufacture (COM)</t>
  </si>
  <si>
    <t>sum of the above from DW&amp;B</t>
  </si>
  <si>
    <t>General Expenses</t>
  </si>
  <si>
    <t>Selling (or transfer) expense</t>
  </si>
  <si>
    <t>% of sales</t>
  </si>
  <si>
    <t>Direct research</t>
  </si>
  <si>
    <t>Allocated research</t>
  </si>
  <si>
    <t>Administrative expense</t>
  </si>
  <si>
    <t>Management incentive compensation</t>
  </si>
  <si>
    <t>Total general expenses (GE)</t>
  </si>
  <si>
    <t>COM+GE</t>
  </si>
  <si>
    <t>Chemical Engineering Plant Cost Index (CEPCI)</t>
  </si>
  <si>
    <t>Scale up to today's dollars</t>
  </si>
  <si>
    <t>1957-59=100</t>
  </si>
  <si>
    <t>Mar.15 2016</t>
  </si>
  <si>
    <t>Annual index</t>
  </si>
  <si>
    <t>CE index</t>
  </si>
  <si>
    <t>Equipment</t>
  </si>
  <si>
    <t>Heat exchangers &amp; tanks</t>
  </si>
  <si>
    <t>Process machinery</t>
  </si>
  <si>
    <t>Pipe. Valves &amp; fittings</t>
  </si>
  <si>
    <t>Process instuments</t>
  </si>
  <si>
    <t>Pumps &amp; compressors</t>
  </si>
  <si>
    <t>Electrical equipment</t>
  </si>
  <si>
    <t>Structural supports &amp; misc</t>
  </si>
  <si>
    <t>Construction labor</t>
  </si>
  <si>
    <t>Buildings</t>
  </si>
  <si>
    <t>Engineering &amp; supervision</t>
  </si>
  <si>
    <t>Ftoday$ = Fold$*(CEPCItoday/CEPCIold)</t>
  </si>
  <si>
    <t>Ref.: Product and Process design principles  Seider,Seader</t>
  </si>
  <si>
    <t>CEPCI</t>
  </si>
  <si>
    <t>Installation costs</t>
  </si>
  <si>
    <t>Construction costs (incl. labor)</t>
  </si>
  <si>
    <t>Total direct costs</t>
  </si>
  <si>
    <t>Shipping (incl. insurance &amp; tax)</t>
  </si>
  <si>
    <t>construction overhead</t>
  </si>
  <si>
    <t>contractor engineering</t>
  </si>
  <si>
    <t>Contingencies</t>
  </si>
  <si>
    <t>Total indirect costs</t>
  </si>
  <si>
    <t>CBTIC=CBship+CBover+CBengn+CBslop</t>
  </si>
  <si>
    <t>Total depreciable capital</t>
  </si>
  <si>
    <t>land (pure real estate)</t>
  </si>
  <si>
    <t>CBland=0.02*CBdep</t>
  </si>
  <si>
    <t>royaltes</t>
  </si>
  <si>
    <t>CBroyl=0.02*CBdep</t>
  </si>
  <si>
    <t>startup costs</t>
  </si>
  <si>
    <t>CBstrt=0.1*CBdep</t>
  </si>
  <si>
    <t>Fixed capital investiment</t>
  </si>
  <si>
    <t>CBFCI=CBdep+CBland+CBroyl+CBstrt</t>
  </si>
  <si>
    <t>COG</t>
  </si>
  <si>
    <t>NG</t>
  </si>
  <si>
    <t>Total F.O.B. (million $) in 2016</t>
  </si>
  <si>
    <t>TFOB</t>
  </si>
  <si>
    <t>Cbinst=0.714*TFOB</t>
  </si>
  <si>
    <t>Cbconst=0.63*TFOB</t>
  </si>
  <si>
    <t>CBship=0.08*TFOB</t>
  </si>
  <si>
    <t>CBover=0.571*TFOB</t>
  </si>
  <si>
    <t>CBengn=0.296*TFOB</t>
  </si>
  <si>
    <t>CBslop=0.25*TFOB</t>
  </si>
  <si>
    <t>TDC=TFOB+Cbinst+Cbconst</t>
  </si>
  <si>
    <t>CBdep=TDC+CBTIC</t>
  </si>
  <si>
    <t>MeOH price (USD/MT)</t>
  </si>
  <si>
    <t>Total Production cost ( C ) (million $)</t>
  </si>
  <si>
    <t>Total Production cost ( C ) ($)</t>
  </si>
  <si>
    <t>Lifetime</t>
  </si>
  <si>
    <t>Inner rate of return</t>
  </si>
  <si>
    <t>AF</t>
  </si>
  <si>
    <t>Annual operation hrs</t>
  </si>
  <si>
    <t>Total Revenue (million $)</t>
  </si>
  <si>
    <t>Total Production Cost (million $)</t>
  </si>
  <si>
    <t>Total Fixed Capital Investment (million $)</t>
  </si>
  <si>
    <t>NPV (million $)</t>
  </si>
  <si>
    <t>Y payback period (yr)</t>
  </si>
  <si>
    <t>Additional CO2 (kg/hr)</t>
  </si>
  <si>
    <t>CO2 Sep. cost ($/MT)</t>
  </si>
  <si>
    <t>statust-quo</t>
  </si>
  <si>
    <t>CE (cent/kwh)</t>
  </si>
  <si>
    <t>Elec. (kwh)</t>
  </si>
  <si>
    <t>FROM DOFASCO</t>
  </si>
  <si>
    <t>April 2015 to March 2016</t>
  </si>
  <si>
    <t>Nm/year</t>
  </si>
  <si>
    <t>COG produced (mmbtu/h)</t>
  </si>
  <si>
    <t>Higher heating value (btu/cf)</t>
  </si>
  <si>
    <t>Present S/T efficiency</t>
  </si>
  <si>
    <t>Electricity generated</t>
  </si>
  <si>
    <t>MW</t>
  </si>
  <si>
    <t>Equipment equation cal. cost (USD)</t>
  </si>
  <si>
    <t>Compressor efficiency</t>
  </si>
  <si>
    <t>COMP1 (Costing and Proj. eva. Economi. Page 319)</t>
  </si>
  <si>
    <t>COMP2 (Costing and Proj. eva. Economi. Page 319)</t>
  </si>
  <si>
    <t>COMP3 (Costing and Proj. eva. Economi. Page 319)</t>
  </si>
  <si>
    <t>Pump Efficiency</t>
  </si>
  <si>
    <t>Compr. Efficiency</t>
  </si>
  <si>
    <t>Calculate type</t>
  </si>
  <si>
    <t xml:space="preserve">HX-Plate and frame </t>
  </si>
  <si>
    <t>Ref.</t>
  </si>
  <si>
    <t>Seider book, page 592</t>
  </si>
  <si>
    <t>Chap.6 Costing and project evaluation</t>
  </si>
  <si>
    <t>Floating head shell and tube</t>
  </si>
  <si>
    <t>Vertical, cs pressure vessel</t>
  </si>
  <si>
    <t>Centrifugal compressors</t>
  </si>
  <si>
    <t>Single-stage centrifugal pumps</t>
  </si>
  <si>
    <t>Fixed tube, float head, u-tube HX</t>
  </si>
  <si>
    <t>Aspen Economizer</t>
  </si>
  <si>
    <t>Distilation column</t>
  </si>
  <si>
    <t>Fired heaters for specific purpose: steam boiler</t>
  </si>
  <si>
    <t>Gas turbine with combustion chamber</t>
  </si>
  <si>
    <t>pump efficiency</t>
  </si>
  <si>
    <t>Box type furnace,316S</t>
  </si>
  <si>
    <t>H2S removal and recovery cost fixed capital cost (million $)</t>
  </si>
  <si>
    <t>H2S removal and recovery operation, utility, production cost ($/hr)</t>
  </si>
  <si>
    <t>COG (kg/hr)</t>
  </si>
  <si>
    <t>H2S in COG (kmol/hr)</t>
  </si>
  <si>
    <t>Ref.: Liquid redox sulfur recovery options, costs, and environmental considerations</t>
  </si>
  <si>
    <t>CCPP</t>
  </si>
  <si>
    <t>MeOH-uNG</t>
  </si>
  <si>
    <t>MeOH-uCOG</t>
  </si>
  <si>
    <t>NPV</t>
  </si>
  <si>
    <t>Y</t>
  </si>
  <si>
    <t>FCI (million $)</t>
  </si>
  <si>
    <t xml:space="preserve"> COG combust CO2 (kg/hr)</t>
  </si>
  <si>
    <t>Cost of CO2 avoided ($/t CO2e)</t>
  </si>
  <si>
    <t>Total revenue without CO2 revenue (million $)</t>
  </si>
  <si>
    <t>Different Location</t>
  </si>
  <si>
    <t>Europe</t>
  </si>
  <si>
    <t>North America</t>
  </si>
  <si>
    <t>Asia Pacific</t>
  </si>
  <si>
    <t>Xmeoh ($/MT)</t>
  </si>
  <si>
    <t>(methanex,2018)</t>
  </si>
  <si>
    <t>TR (million $)</t>
  </si>
  <si>
    <t>MeOH-uBFG</t>
  </si>
  <si>
    <t>BFG</t>
  </si>
  <si>
    <t>Suppose BFG isn't used in plant</t>
  </si>
  <si>
    <t>Status-quo</t>
  </si>
  <si>
    <t>kg/hr</t>
  </si>
  <si>
    <t>-</t>
  </si>
  <si>
    <t>Same amount BFG comb. As usual (kg/hr)</t>
  </si>
  <si>
    <t>BFG same amount used</t>
  </si>
  <si>
    <t>Same amount BFG used</t>
  </si>
  <si>
    <t>CDR Utility flow rate (kg/hr)</t>
  </si>
  <si>
    <t>Additional CO2 needed (kg/hr)</t>
  </si>
  <si>
    <r>
      <t>Total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reduction compared to status-quo (KT/yr)</t>
    </r>
  </si>
  <si>
    <t>PUMP1 for WGS</t>
  </si>
  <si>
    <t>WGS</t>
  </si>
  <si>
    <t>Ni. Price from alibaba higest</t>
  </si>
  <si>
    <t>Al2O3 price from alibaba highest</t>
  </si>
  <si>
    <t>$/gram</t>
  </si>
  <si>
    <t>$/ton</t>
  </si>
  <si>
    <t>kg</t>
  </si>
  <si>
    <t>l/hr</t>
  </si>
  <si>
    <t xml:space="preserve">Mixture goes in to CDR </t>
  </si>
  <si>
    <t>VHSV</t>
  </si>
  <si>
    <t>L/g/hr</t>
  </si>
  <si>
    <r>
      <t>CuO: ZnO: 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: SiO</t>
    </r>
    <r>
      <rPr>
        <vertAlign val="sub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for MeOH</t>
    </r>
  </si>
  <si>
    <t>ton</t>
  </si>
  <si>
    <t>Price</t>
  </si>
  <si>
    <t>CuO amount</t>
  </si>
  <si>
    <t>ZnO amount</t>
  </si>
  <si>
    <t>Al2O3 amount</t>
  </si>
  <si>
    <t>SiO2 amount</t>
  </si>
  <si>
    <t>$/kg</t>
  </si>
  <si>
    <t>Max. total cost ($)</t>
  </si>
  <si>
    <t>CO2REMOV amount (kg/hr)</t>
  </si>
  <si>
    <t>Total Production Cost (million $/yr)</t>
  </si>
  <si>
    <t>Total Revenue (million $/yr)</t>
  </si>
  <si>
    <t>Fe2O3 from alibaba higest</t>
  </si>
  <si>
    <t>For Fe2O3 in literature</t>
  </si>
  <si>
    <t>m3</t>
  </si>
  <si>
    <t>mg H2S/m3</t>
  </si>
  <si>
    <t>hr</t>
  </si>
  <si>
    <t>H2S after CDR</t>
  </si>
  <si>
    <t>bed voidage</t>
  </si>
  <si>
    <t>g/cm3</t>
  </si>
  <si>
    <t>catalyst density</t>
  </si>
  <si>
    <t>MeOH-uNG-WGS</t>
  </si>
  <si>
    <t>MeOH production rate (kg MeOH/kg COG)</t>
  </si>
  <si>
    <t>HEAT4</t>
  </si>
  <si>
    <t>HEAT5</t>
  </si>
  <si>
    <t>Centrifugal compressors+Drive mainly by GT, the left by internal comb. Engine</t>
  </si>
  <si>
    <t>m3/h</t>
  </si>
  <si>
    <t>mg H2S/h</t>
  </si>
  <si>
    <t>(Ni/γ-Al2O3)</t>
  </si>
  <si>
    <t>Ni-MgO-Ce0.8Zr0.2O2</t>
  </si>
  <si>
    <t>Mg(NO3)2.6H2O</t>
  </si>
  <si>
    <t>Ni(NO3)2.6H2O</t>
  </si>
  <si>
    <t>Ce(NO3)2.6H2O</t>
  </si>
  <si>
    <t>ZrO2</t>
  </si>
  <si>
    <t>Box type furnace,CS</t>
  </si>
  <si>
    <t>HEAT6</t>
  </si>
  <si>
    <t>Packed tower</t>
  </si>
  <si>
    <t>COOL2-1</t>
  </si>
  <si>
    <t>COOL2-2</t>
  </si>
  <si>
    <t>Centrifugal compressors+MOTOR</t>
  </si>
  <si>
    <t>pump2</t>
  </si>
  <si>
    <t>COMP4 (Costing and Proj. eva. Economi. Page 319)</t>
  </si>
  <si>
    <t>WGS_NG</t>
  </si>
  <si>
    <t>CDR Utility flow rate (kg/kg COG)</t>
  </si>
  <si>
    <t>Total BFG</t>
  </si>
  <si>
    <t xml:space="preserve">Mixture goes in to CSR </t>
  </si>
  <si>
    <t>kg/yr</t>
  </si>
  <si>
    <t>ton/yr</t>
  </si>
  <si>
    <t>CO2 consumption (kg CO2/kg COG)</t>
  </si>
  <si>
    <t>MeOH annual production rate (kt/yr)</t>
  </si>
  <si>
    <t>CDR catalyst (million $) (Ni/γ-Al2O3) initial</t>
  </si>
  <si>
    <t>MTSR catalyst (million $) (Fe2O3) initial</t>
  </si>
  <si>
    <t>MeOH catalyst (million $) (CuO: ZnO: Al2O3: SiO2) initial</t>
  </si>
  <si>
    <t>ton catalyst</t>
  </si>
  <si>
    <t>Total catalyst cost (million $)</t>
  </si>
  <si>
    <t>H2S removal &amp; CO2 recover cost (million $)</t>
  </si>
  <si>
    <t>CO2 emission from COG combustion status quo(kg/hr)</t>
  </si>
  <si>
    <t>Total CO2 emission  compare status quo (kg/hr)</t>
  </si>
  <si>
    <t xml:space="preserve"> Utility </t>
  </si>
  <si>
    <t>Operations</t>
  </si>
  <si>
    <t xml:space="preserve">Maintenance </t>
  </si>
  <si>
    <t xml:space="preserve">Operating Overhead </t>
  </si>
  <si>
    <t>Property Taxes and Insurance</t>
  </si>
  <si>
    <t>Total Utility Cost  $)</t>
  </si>
  <si>
    <t>PPP</t>
  </si>
  <si>
    <t>COM (million $)</t>
  </si>
  <si>
    <t xml:space="preserve"> </t>
  </si>
  <si>
    <t>Elect. In Status-quo (GWh)</t>
  </si>
  <si>
    <r>
      <t>M</t>
    </r>
    <r>
      <rPr>
        <vertAlign val="subscript"/>
        <sz val="11"/>
        <color theme="1"/>
        <rFont val="Calibri"/>
        <family val="2"/>
        <scheme val="minor"/>
      </rPr>
      <t xml:space="preserve">MeOH </t>
    </r>
    <r>
      <rPr>
        <sz val="11"/>
        <color theme="1"/>
        <rFont val="Calibri"/>
        <family val="2"/>
        <scheme val="minor"/>
      </rPr>
      <t>(kT/yr)</t>
    </r>
  </si>
  <si>
    <t>Total CO2 emission compared to status quo (kT/yr)</t>
  </si>
  <si>
    <t>Ontario</t>
  </si>
  <si>
    <t>USA</t>
  </si>
  <si>
    <t>Finland</t>
  </si>
  <si>
    <t>Mexico</t>
  </si>
  <si>
    <t>China</t>
  </si>
  <si>
    <t>Exchange rate (LCD to USD</t>
  </si>
  <si>
    <t>Towler, Gavin, Sinnott, Ray K book 2013 Chapter 7</t>
  </si>
  <si>
    <t>Towler, Gavin, Sinnott, Ray K book 2013 Chapter 7, area get by 4 HX replacement in Aspen</t>
  </si>
  <si>
    <t>Towler, Gavin, Sinnott, Ray K book 2013 Chapter 7, Sieder book, page 591</t>
  </si>
  <si>
    <t>Towler, Gavin, Sinnott, Ray K book 2013 Chapter 7, shell weight from Aspen Economy</t>
  </si>
  <si>
    <t>uCOG</t>
  </si>
  <si>
    <t>uNG</t>
  </si>
  <si>
    <t>uBFG</t>
  </si>
  <si>
    <t>uNG-WGS</t>
  </si>
  <si>
    <t>Norm</t>
  </si>
  <si>
    <t>Process</t>
  </si>
  <si>
    <t>Ref.: Utilization of blast furnace flue gas: Opportunities and challenges for polymeric membrane gas separation processes, 2017</t>
  </si>
  <si>
    <t>ER</t>
  </si>
  <si>
    <t>Payback period (yr)</t>
  </si>
  <si>
    <t>Trigger point</t>
  </si>
  <si>
    <t>Ontario PPP</t>
  </si>
  <si>
    <t>CO2 emit from flue gas</t>
  </si>
  <si>
    <t>Total CO2 emit directly</t>
  </si>
  <si>
    <t>uNG_WGS</t>
  </si>
  <si>
    <t>Elec. Carb. Intens. (g/kwh)</t>
  </si>
  <si>
    <t>Tax ($/Mton)</t>
  </si>
  <si>
    <t>Xmeoh ($/Mton)</t>
  </si>
  <si>
    <r>
      <t>CCA($/MtonCO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</si>
  <si>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t>Xelec($/MWH)</t>
  </si>
  <si>
    <t>Ontario ($/MT)</t>
  </si>
  <si>
    <t>USA ($/MT)</t>
  </si>
  <si>
    <t>Finland ($/MT)</t>
  </si>
  <si>
    <t>Mexico ($/MT)</t>
  </si>
  <si>
    <t>China ($/MT)</t>
  </si>
  <si>
    <t>€ to $</t>
  </si>
  <si>
    <t>Ontario ($ per MWh)</t>
  </si>
  <si>
    <t>USA ($/MWH)</t>
  </si>
  <si>
    <t>Access May 21, 2019</t>
  </si>
  <si>
    <t>http://www.sohu.com/a/271827080_146940</t>
  </si>
  <si>
    <t>RMB to $</t>
  </si>
  <si>
    <t>Accessed May 22, 2019</t>
  </si>
  <si>
    <t>Finland ($/MWH)</t>
  </si>
  <si>
    <t>China ($/MWH)</t>
  </si>
  <si>
    <t>http://www.in-en.com/article/html/energy-2264652.shtml</t>
  </si>
  <si>
    <t>https://www.douban.com/note/591540114/</t>
  </si>
  <si>
    <t>https://wenku.baidu.com/view/376fb2e3f46527d3250ce01f.html</t>
  </si>
  <si>
    <t>https://www.docin.com/p-1453851687.html</t>
  </si>
  <si>
    <t>https://wenku.baidu.com/view/1c8fb39a5ff7ba0d4a7302768e9951e79b8969c0.html</t>
  </si>
  <si>
    <t>Mexico($/MWH)</t>
  </si>
  <si>
    <t>CAD to $</t>
  </si>
  <si>
    <t>https://www.xe.com/currencytables/</t>
  </si>
  <si>
    <t>https://datos.gob.mx/busca/dataset/precios-medios-de-energia-electrica-por-tipo-de-tarifa?fbclid=IwAR12XrfUdQMVV4ENQxlNmXX7xNEYgo4zAxONNfuIQOfMjbDteR9c5S5dR7E</t>
  </si>
  <si>
    <t>Peso to $</t>
  </si>
  <si>
    <t xml:space="preserve"> http://www.ieso.ca/Learn/Electricity-Pricing/For-Mid-sized-and-Large-Businesses</t>
  </si>
  <si>
    <t>全国平均电价,大工业</t>
  </si>
  <si>
    <t>http://www.sohu.com/a/258393602_117460</t>
  </si>
  <si>
    <t>https://wenku.baidu.com/view/3f15a7efaeaad1f346933fcd.html?rec_flag=default&amp;sxts=1558625924220</t>
  </si>
  <si>
    <t>https://wenku.baidu.com/view/8ad598d233d4b14e85246858.html?sxts=1558626092567</t>
  </si>
  <si>
    <t>https://www.statista.com/statistics/595853/electricity-industry-price-finland/</t>
  </si>
  <si>
    <t>Access May 23, 2019</t>
  </si>
  <si>
    <t>Yearly average</t>
  </si>
  <si>
    <t>yearly average</t>
  </si>
  <si>
    <t>Retail price of electricity, Industrial, yearly average</t>
  </si>
  <si>
    <t>Average retail price of electricity, Industrial: yearly</t>
  </si>
  <si>
    <t>https://www.ofx.com/en-ca/forex-news/historical-exchange-rates/yearly-average-rates/</t>
  </si>
  <si>
    <t>https://fxtop.com/en/historical-exchange-rates.php?A=1&amp;C1=CNY&amp;C2=USD&amp;YA=1&amp;DD1=&amp;MM1=&amp;YYYY1=2006&amp;B=1&amp;P=&amp;I=1&amp;DD2=23&amp;MM2=05&amp;YYYY2=2019&amp;btnOK=Go%21</t>
  </si>
  <si>
    <t>https://www.statista.com/statistics/483230/ontario-yearly-average-electricity-market-price/; http://www.ieso.ca/Power-Data/Price-Overview/Hourly-Ontario-Energy-Price</t>
  </si>
  <si>
    <t>Businesses with peak demand of more than 50 kw pay the wholesale price for elctricity: B type customer, with GA</t>
  </si>
  <si>
    <t>GA: http://www.ieso.ca/Power-Data/Data-Directory</t>
  </si>
  <si>
    <t>MeOH</t>
  </si>
  <si>
    <t>Carbon tax @ present</t>
  </si>
  <si>
    <t>Carbon tax @ 50 $/ton</t>
  </si>
  <si>
    <t>Ontario ppp</t>
  </si>
  <si>
    <t>USA PPP</t>
  </si>
  <si>
    <t>Finland PPP</t>
  </si>
  <si>
    <t>Mexico PPP</t>
  </si>
  <si>
    <t>China PPP</t>
  </si>
  <si>
    <t>$ to us$</t>
  </si>
  <si>
    <t>CCA($/tonCO2e)</t>
  </si>
  <si>
    <t>https://www.eia.gov/totalenergy/data/annual/; https://www.statista.com/statistics/200197/average-retail-price-of-electricity-in-the-us-by-sector-since-1998/</t>
  </si>
  <si>
    <t>TFCI (million $)</t>
  </si>
  <si>
    <t>Total depreciable cap. (million $)</t>
  </si>
  <si>
    <t>TCI paid by loan</t>
  </si>
  <si>
    <t>TCI paid by equity</t>
  </si>
  <si>
    <t>TCI paid by loan (million $)</t>
  </si>
  <si>
    <t>Loan interest rate (%)</t>
  </si>
  <si>
    <t>Equity interest rate</t>
  </si>
  <si>
    <t>Loan lifetime (years)</t>
  </si>
  <si>
    <t>Project lifetime (years)</t>
  </si>
  <si>
    <t>Loan left</t>
  </si>
  <si>
    <t>loan left at end of the year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</si>
  <si>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</si>
  <si>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</si>
  <si>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</si>
  <si>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</si>
  <si>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</si>
  <si>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</si>
  <si>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</si>
  <si>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</si>
  <si>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</si>
  <si>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</si>
  <si>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Annual payment on loan (million $/year)</t>
  </si>
  <si>
    <t>2029</t>
  </si>
  <si>
    <t>2030</t>
  </si>
  <si>
    <t>2031</t>
  </si>
  <si>
    <t>2032</t>
  </si>
  <si>
    <t>2033</t>
  </si>
  <si>
    <t>2034</t>
  </si>
  <si>
    <t>2035</t>
  </si>
  <si>
    <t>MeOH price ($/ton)</t>
  </si>
  <si>
    <t>Annual production cost (million $)</t>
  </si>
  <si>
    <t>Annual depreciation (million $/year) (7years straight-line method)</t>
  </si>
  <si>
    <t>Receipt from sale (million $)</t>
  </si>
  <si>
    <t>inflation rate (%)</t>
  </si>
  <si>
    <t>Cash flow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</si>
  <si>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</si>
  <si>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</si>
  <si>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</si>
  <si>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</si>
  <si>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</si>
  <si>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</si>
  <si>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</si>
  <si>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</si>
  <si>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</si>
  <si>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</si>
  <si>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</si>
  <si>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</si>
  <si>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Loan payment made (million $)</t>
  </si>
  <si>
    <t>Production cost (million $)</t>
  </si>
  <si>
    <t>Receipts from sales (million $)</t>
  </si>
  <si>
    <t>Income left (million $)</t>
  </si>
  <si>
    <t>Loan interest paid</t>
  </si>
  <si>
    <t>Income tax (%)</t>
  </si>
  <si>
    <t>Carbon tax ($/ton)</t>
  </si>
  <si>
    <t>Carbon emission reduction(ton)</t>
  </si>
  <si>
    <t>Electricity Carbon intensity (g/kwh)</t>
  </si>
  <si>
    <t>Electricity purchase from the grid (kwh)</t>
  </si>
  <si>
    <t>Value credit from CO2 tax avenue(million $)</t>
  </si>
  <si>
    <t>depreciation(million $)</t>
  </si>
  <si>
    <t>Loan balance at year start(million $0</t>
  </si>
  <si>
    <t>Loan interest paid(million $)</t>
  </si>
  <si>
    <t>Taxable income(million$)</t>
  </si>
  <si>
    <t>Income tax paid(million$)</t>
  </si>
  <si>
    <t>Income after tax(million$)</t>
  </si>
  <si>
    <t>electricity price ($/MWH)</t>
  </si>
  <si>
    <t>Actual net value income(million $)</t>
  </si>
  <si>
    <t>Actual cash flow for year (million$)</t>
  </si>
  <si>
    <t>Present value of cash flow(million$)</t>
  </si>
  <si>
    <t>Cumulative present value</t>
  </si>
  <si>
    <t>Canada year 2018</t>
  </si>
  <si>
    <t>LC to USD</t>
  </si>
  <si>
    <t>Depreciable percentage(%)</t>
  </si>
  <si>
    <t>Locations(Ontario)</t>
  </si>
  <si>
    <t>https://www.ceicdata.com/en/china/electricity-price/cn-usage-price-electricity-for-industry-35-kv--above-shanghai</t>
  </si>
  <si>
    <t>accessed May 31, 2019</t>
  </si>
  <si>
    <t>accessed may 31, 2019</t>
  </si>
  <si>
    <t>Reduced electricity purchase from grid (kwh)</t>
  </si>
  <si>
    <t>value credit from reduced electricity purchase (million $)</t>
  </si>
  <si>
    <t>Carbon emission reduction(ton/year)</t>
  </si>
  <si>
    <t>MeOH($/ton)</t>
  </si>
  <si>
    <t>Elec($/MWH)</t>
  </si>
  <si>
    <t>tax = present</t>
  </si>
  <si>
    <t>tax = 50 $/ton</t>
  </si>
  <si>
    <t>https://inflationcalculator.ca/ontario/;accessed June 5th, 2019</t>
  </si>
  <si>
    <t>https://www.worlddata.info/europe/finland/inflation-rates.php; accessed June 5th, 2019</t>
  </si>
  <si>
    <t>https://www.statbureau.org/en/mexico/inflation-calculators?dateBack=2017-12-1&amp;dateTo=2018-7-1&amp;amount=75.76; accessed June 5th, 2019</t>
  </si>
  <si>
    <t>https://www.inflationtool.com/chinese-renminbi?amount=388&amp;year1=2017&amp;year2=2018; accessed June 5th, 2019</t>
  </si>
  <si>
    <t>https://www.usinflationcalculator.com/; accessed June 5th, 2019</t>
  </si>
  <si>
    <t>Tax Loss Carry Forward</t>
  </si>
  <si>
    <t>Opening balance</t>
  </si>
  <si>
    <t>Current loss</t>
  </si>
  <si>
    <t>Sub Total</t>
  </si>
  <si>
    <t>Loss Used</t>
  </si>
  <si>
    <t>Closing Balance</t>
  </si>
  <si>
    <t>CCA ($/ton)</t>
  </si>
  <si>
    <t>MeOH price at TCO2 present</t>
  </si>
  <si>
    <t>Elec. $/MWH</t>
  </si>
  <si>
    <t>Elec.$/MWH</t>
  </si>
  <si>
    <t>MeOH price at TCO2 50$/ton</t>
  </si>
  <si>
    <t>CPVm-CPVc</t>
  </si>
  <si>
    <t>tax = 50$/ton</t>
  </si>
  <si>
    <t>MeOH or CCPP</t>
  </si>
  <si>
    <t>TCI</t>
  </si>
  <si>
    <t>Tornado plot NPV</t>
  </si>
  <si>
    <t>-20%</t>
  </si>
  <si>
    <t>+20%</t>
  </si>
  <si>
    <t>Depreciable</t>
  </si>
  <si>
    <t>70</t>
  </si>
  <si>
    <t>100</t>
  </si>
  <si>
    <t>NPV Value</t>
  </si>
  <si>
    <t>Changed to</t>
  </si>
  <si>
    <t>Debt-to-equity</t>
  </si>
  <si>
    <t>30/70</t>
  </si>
  <si>
    <t>70/30</t>
  </si>
  <si>
    <t>30</t>
  </si>
  <si>
    <t>Loan interest rate</t>
  </si>
  <si>
    <t>5%</t>
  </si>
  <si>
    <t>14%</t>
  </si>
  <si>
    <t>Loan life time</t>
  </si>
  <si>
    <t>0</t>
  </si>
  <si>
    <t>2048</t>
  </si>
  <si>
    <t>2049</t>
  </si>
  <si>
    <t>2050</t>
  </si>
  <si>
    <t>2051</t>
  </si>
  <si>
    <t>10</t>
  </si>
  <si>
    <t>20</t>
  </si>
  <si>
    <t>Project lifetime</t>
  </si>
  <si>
    <t>40</t>
  </si>
  <si>
    <t>2052</t>
  </si>
  <si>
    <t>2053</t>
  </si>
  <si>
    <t>2054</t>
  </si>
  <si>
    <t>2055</t>
  </si>
  <si>
    <t>2056</t>
  </si>
  <si>
    <t>2057</t>
  </si>
  <si>
    <t>Inflation rate for sale</t>
  </si>
  <si>
    <t>Inflation rate for cost</t>
  </si>
  <si>
    <t>1.5%</t>
  </si>
  <si>
    <t>4.5%</t>
  </si>
  <si>
    <t>2%</t>
  </si>
  <si>
    <t>6%</t>
  </si>
  <si>
    <t>Income Tax</t>
  </si>
  <si>
    <t>50</t>
  </si>
  <si>
    <t>31</t>
  </si>
  <si>
    <t>Carbon tax</t>
  </si>
  <si>
    <t>400</t>
  </si>
  <si>
    <t>Electricity carbon intensity (g/kWh)</t>
  </si>
  <si>
    <t>500</t>
  </si>
  <si>
    <t>Electricity price ($/MWH)</t>
  </si>
  <si>
    <t>130</t>
  </si>
  <si>
    <t>81</t>
  </si>
  <si>
    <t>23</t>
  </si>
  <si>
    <t>26</t>
  </si>
  <si>
    <t>60</t>
  </si>
  <si>
    <t>21</t>
  </si>
  <si>
    <t>85</t>
  </si>
  <si>
    <t>76</t>
  </si>
  <si>
    <t>35</t>
  </si>
  <si>
    <t>590</t>
  </si>
  <si>
    <t>108</t>
  </si>
  <si>
    <t>88</t>
  </si>
  <si>
    <t>Elec. Triger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</si>
</sst>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[$€-2]\ #,##0.00;[Red]\-[$€-2]\ #,##0.00"/>
    <numFmt numFmtId="166" formatCode="#,##0.00_ ;[Red]\-#,##0.00\ "/>
    <numFmt numFmtId="167" formatCode="0_ ;[Red]\-0\ "/>
    <numFmt numFmtId="168" formatCode="0.00_ ;[Red]\-0.00\ 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21212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Whitney SSm A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F6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7D7D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165" fontId="0" fillId="0" borderId="0"/>
    <xf numFmtId="165" fontId="11" fillId="0" borderId="0" applyNumberFormat="0" applyFill="0" applyBorder="0" applyAlignment="0" applyProtection="0"/>
    <xf numFmtId="165" fontId="13" fillId="0" borderId="0"/>
    <xf numFmtId="165" fontId="11" fillId="0" borderId="0" applyNumberFormat="0" applyFill="0" applyBorder="0" applyAlignment="0" applyProtection="0"/>
  </cellStyleXfs>
  <cellXfs count="180">
    <xf numFmtId="165" fontId="0" fillId="0" borderId="0" xfId="0"/>
    <xf numFmtId="49" fontId="0" fillId="0" borderId="0" xfId="0" applyNumberFormat="1"/>
    <xf numFmtId="165" fontId="0" fillId="0" borderId="0" xfId="0" applyBorder="1"/>
    <xf numFmtId="165" fontId="1" fillId="0" borderId="0" xfId="0" applyFont="1"/>
    <xf numFmtId="165" fontId="1" fillId="0" borderId="1" xfId="0" applyFont="1" applyBorder="1"/>
    <xf numFmtId="165" fontId="0" fillId="0" borderId="2" xfId="0" applyBorder="1"/>
    <xf numFmtId="165" fontId="0" fillId="0" borderId="1" xfId="0" applyBorder="1"/>
    <xf numFmtId="165" fontId="1" fillId="0" borderId="3" xfId="0" applyFont="1" applyBorder="1"/>
    <xf numFmtId="165" fontId="0" fillId="0" borderId="4" xfId="0" applyBorder="1"/>
    <xf numFmtId="165" fontId="0" fillId="0" borderId="3" xfId="0" applyBorder="1"/>
    <xf numFmtId="165" fontId="1" fillId="0" borderId="5" xfId="0" applyFont="1" applyBorder="1"/>
    <xf numFmtId="165" fontId="0" fillId="0" borderId="6" xfId="0" applyBorder="1"/>
    <xf numFmtId="165" fontId="0" fillId="0" borderId="5" xfId="0" applyBorder="1"/>
    <xf numFmtId="165" fontId="0" fillId="0" borderId="7" xfId="0" applyBorder="1"/>
    <xf numFmtId="165" fontId="0" fillId="0" borderId="8" xfId="0" applyBorder="1"/>
    <xf numFmtId="165" fontId="0" fillId="2" borderId="3" xfId="0" applyFill="1" applyBorder="1"/>
    <xf numFmtId="165" fontId="0" fillId="2" borderId="0" xfId="0" applyFill="1" applyBorder="1"/>
    <xf numFmtId="165" fontId="0" fillId="2" borderId="4" xfId="0" applyFill="1" applyBorder="1"/>
    <xf numFmtId="165" fontId="0" fillId="2" borderId="5" xfId="0" applyFill="1" applyBorder="1"/>
    <xf numFmtId="165" fontId="0" fillId="2" borderId="8" xfId="0" applyFill="1" applyBorder="1"/>
    <xf numFmtId="165" fontId="0" fillId="2" borderId="6" xfId="0" applyFill="1" applyBorder="1"/>
    <xf numFmtId="165" fontId="0" fillId="2" borderId="7" xfId="0" applyFill="1" applyBorder="1"/>
    <xf numFmtId="165" fontId="0" fillId="2" borderId="2" xfId="0" applyFill="1" applyBorder="1"/>
    <xf numFmtId="165" fontId="1" fillId="2" borderId="3" xfId="0" applyFont="1" applyFill="1" applyBorder="1"/>
    <xf numFmtId="165" fontId="0" fillId="2" borderId="1" xfId="0" applyFill="1" applyBorder="1"/>
    <xf numFmtId="165" fontId="0" fillId="0" borderId="9" xfId="0" applyBorder="1"/>
    <xf numFmtId="165" fontId="0" fillId="0" borderId="10" xfId="0" applyBorder="1"/>
    <xf numFmtId="165" fontId="0" fillId="0" borderId="11" xfId="0" applyBorder="1"/>
    <xf numFmtId="165" fontId="0" fillId="0" borderId="12" xfId="0" applyBorder="1"/>
    <xf numFmtId="165" fontId="0" fillId="0" borderId="13" xfId="0" applyBorder="1"/>
    <xf numFmtId="2" fontId="0" fillId="0" borderId="0" xfId="0" applyNumberFormat="1"/>
    <xf numFmtId="2" fontId="2" fillId="0" borderId="0" xfId="0" applyNumberFormat="1" applyFont="1"/>
    <xf numFmtId="2" fontId="0" fillId="2" borderId="8" xfId="0" applyNumberFormat="1" applyFill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2" borderId="0" xfId="0" applyNumberFormat="1" applyFill="1" applyBorder="1"/>
    <xf numFmtId="2" fontId="0" fillId="2" borderId="7" xfId="0" applyNumberFormat="1" applyFill="1" applyBorder="1"/>
    <xf numFmtId="165" fontId="0" fillId="2" borderId="8" xfId="0" applyFill="1" applyBorder="1" applyAlignment="1">
      <alignment horizontal="right"/>
    </xf>
    <xf numFmtId="165" fontId="0" fillId="0" borderId="15" xfId="0" applyBorder="1"/>
    <xf numFmtId="165" fontId="0" fillId="0" borderId="16" xfId="0" applyBorder="1"/>
    <xf numFmtId="2" fontId="4" fillId="0" borderId="0" xfId="0" applyNumberFormat="1" applyFont="1"/>
    <xf numFmtId="165" fontId="0" fillId="0" borderId="0" xfId="0" applyAlignment="1"/>
    <xf numFmtId="165" fontId="7" fillId="0" borderId="0" xfId="0" applyFont="1"/>
    <xf numFmtId="2" fontId="6" fillId="0" borderId="0" xfId="0" applyNumberFormat="1" applyFont="1"/>
    <xf numFmtId="2" fontId="0" fillId="0" borderId="0" xfId="0" applyNumberFormat="1" applyFill="1"/>
    <xf numFmtId="2" fontId="4" fillId="0" borderId="0" xfId="0" applyNumberFormat="1" applyFont="1" applyFill="1"/>
    <xf numFmtId="164" fontId="0" fillId="0" borderId="0" xfId="0" applyNumberFormat="1"/>
    <xf numFmtId="2" fontId="4" fillId="2" borderId="8" xfId="0" applyNumberFormat="1" applyFont="1" applyFill="1" applyBorder="1"/>
    <xf numFmtId="1" fontId="0" fillId="0" borderId="0" xfId="0" applyNumberFormat="1"/>
    <xf numFmtId="2" fontId="0" fillId="3" borderId="0" xfId="0" applyNumberFormat="1" applyFill="1"/>
    <xf numFmtId="165" fontId="7" fillId="0" borderId="0" xfId="0" applyFont="1" applyAlignment="1">
      <alignment horizontal="justify" vertical="center"/>
    </xf>
    <xf numFmtId="2" fontId="7" fillId="0" borderId="0" xfId="0" applyNumberFormat="1" applyFont="1"/>
    <xf numFmtId="165" fontId="9" fillId="0" borderId="0" xfId="0" applyFont="1" applyAlignment="1">
      <alignment horizontal="justify" vertical="center"/>
    </xf>
    <xf numFmtId="2" fontId="0" fillId="0" borderId="15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6" xfId="0" applyNumberFormat="1" applyBorder="1"/>
    <xf numFmtId="2" fontId="0" fillId="0" borderId="14" xfId="0" applyNumberFormat="1" applyBorder="1"/>
    <xf numFmtId="165" fontId="11" fillId="0" borderId="0" xfId="1"/>
    <xf numFmtId="165" fontId="11" fillId="0" borderId="19" xfId="1" applyBorder="1"/>
    <xf numFmtId="165" fontId="0" fillId="0" borderId="20" xfId="0" applyBorder="1"/>
    <xf numFmtId="165" fontId="0" fillId="0" borderId="0" xfId="0" applyAlignment="1">
      <alignment wrapText="1"/>
    </xf>
    <xf numFmtId="165" fontId="0" fillId="0" borderId="20" xfId="0" applyBorder="1" applyAlignment="1">
      <alignment wrapText="1"/>
    </xf>
    <xf numFmtId="165" fontId="11" fillId="0" borderId="19" xfId="1" applyBorder="1" applyAlignment="1">
      <alignment wrapText="1"/>
    </xf>
    <xf numFmtId="165" fontId="11" fillId="0" borderId="0" xfId="1" applyAlignment="1">
      <alignment wrapText="1"/>
    </xf>
    <xf numFmtId="165" fontId="0" fillId="0" borderId="21" xfId="0" applyBorder="1" applyAlignment="1"/>
    <xf numFmtId="2" fontId="10" fillId="5" borderId="18" xfId="0" applyNumberFormat="1" applyFont="1" applyFill="1" applyBorder="1" applyAlignment="1">
      <alignment vertical="top" wrapText="1" indent="2"/>
    </xf>
    <xf numFmtId="2" fontId="10" fillId="4" borderId="18" xfId="0" applyNumberFormat="1" applyFont="1" applyFill="1" applyBorder="1" applyAlignment="1">
      <alignment vertical="top" wrapText="1" indent="2"/>
    </xf>
    <xf numFmtId="165" fontId="12" fillId="6" borderId="18" xfId="0" applyFont="1" applyFill="1" applyBorder="1" applyAlignment="1">
      <alignment horizontal="center" vertical="center" wrapText="1"/>
    </xf>
    <xf numFmtId="165" fontId="11" fillId="0" borderId="10" xfId="1" applyBorder="1"/>
    <xf numFmtId="165" fontId="0" fillId="0" borderId="12" xfId="0" applyBorder="1" applyAlignment="1"/>
    <xf numFmtId="165" fontId="0" fillId="0" borderId="14" xfId="0" applyFont="1" applyBorder="1" applyAlignment="1">
      <alignment wrapText="1"/>
    </xf>
    <xf numFmtId="165" fontId="0" fillId="0" borderId="21" xfId="0" applyBorder="1"/>
    <xf numFmtId="166" fontId="0" fillId="0" borderId="0" xfId="0" applyNumberFormat="1"/>
    <xf numFmtId="166" fontId="6" fillId="0" borderId="0" xfId="0" applyNumberFormat="1" applyFont="1"/>
    <xf numFmtId="166" fontId="11" fillId="0" borderId="0" xfId="1" applyNumberFormat="1"/>
    <xf numFmtId="2" fontId="0" fillId="0" borderId="0" xfId="0" applyNumberFormat="1" applyAlignment="1"/>
    <xf numFmtId="2" fontId="2" fillId="2" borderId="0" xfId="0" applyNumberFormat="1" applyFont="1" applyFill="1"/>
    <xf numFmtId="166" fontId="7" fillId="0" borderId="0" xfId="0" applyNumberFormat="1" applyFont="1" applyAlignment="1">
      <alignment horizontal="justify" vertical="center"/>
    </xf>
    <xf numFmtId="166" fontId="0" fillId="0" borderId="9" xfId="0" applyNumberFormat="1" applyBorder="1"/>
    <xf numFmtId="166" fontId="0" fillId="0" borderId="15" xfId="0" applyNumberFormat="1" applyBorder="1"/>
    <xf numFmtId="166" fontId="0" fillId="0" borderId="10" xfId="0" applyNumberFormat="1" applyBorder="1"/>
    <xf numFmtId="49" fontId="0" fillId="0" borderId="11" xfId="0" applyNumberFormat="1" applyBorder="1"/>
    <xf numFmtId="166" fontId="0" fillId="0" borderId="0" xfId="0" applyNumberFormat="1" applyBorder="1"/>
    <xf numFmtId="166" fontId="0" fillId="0" borderId="12" xfId="0" applyNumberFormat="1" applyBorder="1"/>
    <xf numFmtId="49" fontId="0" fillId="0" borderId="13" xfId="0" applyNumberFormat="1" applyBorder="1"/>
    <xf numFmtId="166" fontId="0" fillId="0" borderId="16" xfId="0" applyNumberFormat="1" applyBorder="1"/>
    <xf numFmtId="166" fontId="0" fillId="0" borderId="14" xfId="0" applyNumberFormat="1" applyBorder="1"/>
    <xf numFmtId="2" fontId="0" fillId="0" borderId="0" xfId="0" applyNumberFormat="1" applyFill="1" applyBorder="1"/>
    <xf numFmtId="2" fontId="0" fillId="0" borderId="9" xfId="0" applyNumberFormat="1" applyFill="1" applyBorder="1"/>
    <xf numFmtId="2" fontId="0" fillId="0" borderId="15" xfId="0" applyNumberFormat="1" applyFill="1" applyBorder="1"/>
    <xf numFmtId="2" fontId="0" fillId="0" borderId="13" xfId="0" applyNumberFormat="1" applyFill="1" applyBorder="1"/>
    <xf numFmtId="2" fontId="0" fillId="0" borderId="16" xfId="0" applyNumberFormat="1" applyFill="1" applyBorder="1"/>
    <xf numFmtId="49" fontId="0" fillId="0" borderId="15" xfId="0" applyNumberFormat="1" applyBorder="1"/>
    <xf numFmtId="49" fontId="0" fillId="0" borderId="10" xfId="0" applyNumberFormat="1" applyBorder="1"/>
    <xf numFmtId="165" fontId="0" fillId="0" borderId="11" xfId="0" applyBorder="1" applyAlignment="1">
      <alignment horizontal="right"/>
    </xf>
    <xf numFmtId="165" fontId="1" fillId="0" borderId="11" xfId="0" applyFont="1" applyBorder="1"/>
    <xf numFmtId="165" fontId="14" fillId="0" borderId="11" xfId="0" applyFont="1" applyBorder="1" applyAlignment="1">
      <alignment horizontal="right"/>
    </xf>
    <xf numFmtId="166" fontId="14" fillId="0" borderId="0" xfId="0" applyNumberFormat="1" applyFont="1" applyBorder="1"/>
    <xf numFmtId="165" fontId="1" fillId="0" borderId="11" xfId="0" applyFont="1" applyBorder="1" applyAlignment="1">
      <alignment horizontal="left"/>
    </xf>
    <xf numFmtId="166" fontId="0" fillId="0" borderId="0" xfId="0" applyNumberFormat="1" applyFill="1" applyBorder="1"/>
    <xf numFmtId="166" fontId="0" fillId="0" borderId="2" xfId="0" applyNumberFormat="1" applyBorder="1"/>
    <xf numFmtId="166" fontId="0" fillId="0" borderId="1" xfId="0" applyNumberFormat="1" applyBorder="1"/>
    <xf numFmtId="166" fontId="0" fillId="0" borderId="4" xfId="0" applyNumberFormat="1" applyBorder="1"/>
    <xf numFmtId="166" fontId="0" fillId="0" borderId="3" xfId="0" applyNumberFormat="1" applyBorder="1"/>
    <xf numFmtId="166" fontId="0" fillId="0" borderId="6" xfId="0" applyNumberFormat="1" applyBorder="1"/>
    <xf numFmtId="166" fontId="0" fillId="0" borderId="5" xfId="0" applyNumberFormat="1" applyBorder="1"/>
    <xf numFmtId="167" fontId="0" fillId="0" borderId="0" xfId="0" applyNumberFormat="1"/>
    <xf numFmtId="165" fontId="0" fillId="0" borderId="0" xfId="0" applyFill="1"/>
    <xf numFmtId="166" fontId="0" fillId="0" borderId="0" xfId="0" applyNumberFormat="1" applyFill="1"/>
    <xf numFmtId="165" fontId="0" fillId="7" borderId="0" xfId="0" applyFill="1"/>
    <xf numFmtId="166" fontId="0" fillId="7" borderId="0" xfId="0" applyNumberFormat="1" applyFill="1"/>
    <xf numFmtId="165" fontId="11" fillId="0" borderId="0" xfId="1" applyFill="1"/>
    <xf numFmtId="166" fontId="10" fillId="0" borderId="18" xfId="0" applyNumberFormat="1" applyFont="1" applyFill="1" applyBorder="1" applyAlignment="1">
      <alignment vertical="top" wrapText="1" indent="2"/>
    </xf>
    <xf numFmtId="166" fontId="10" fillId="0" borderId="0" xfId="0" applyNumberFormat="1" applyFont="1" applyFill="1" applyBorder="1" applyAlignment="1">
      <alignment vertical="top" wrapText="1" indent="2"/>
    </xf>
    <xf numFmtId="165" fontId="12" fillId="0" borderId="18" xfId="0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6" fontId="4" fillId="0" borderId="0" xfId="0" applyNumberFormat="1" applyFont="1" applyFill="1"/>
    <xf numFmtId="166" fontId="6" fillId="0" borderId="0" xfId="0" applyNumberFormat="1" applyFont="1" applyFill="1"/>
    <xf numFmtId="166" fontId="0" fillId="0" borderId="11" xfId="0" applyNumberFormat="1" applyBorder="1"/>
    <xf numFmtId="165" fontId="0" fillId="8" borderId="0" xfId="0" applyFill="1"/>
    <xf numFmtId="166" fontId="0" fillId="0" borderId="8" xfId="0" applyNumberFormat="1" applyBorder="1"/>
    <xf numFmtId="166" fontId="0" fillId="0" borderId="0" xfId="0" applyNumberFormat="1" applyFont="1"/>
    <xf numFmtId="165" fontId="0" fillId="0" borderId="11" xfId="0" applyFont="1" applyBorder="1" applyAlignment="1">
      <alignment horizontal="right"/>
    </xf>
    <xf numFmtId="165" fontId="0" fillId="0" borderId="22" xfId="0" applyFont="1" applyBorder="1" applyAlignment="1">
      <alignment horizontal="right"/>
    </xf>
    <xf numFmtId="165" fontId="0" fillId="0" borderId="23" xfId="0" applyFont="1" applyBorder="1" applyAlignment="1">
      <alignment horizontal="right"/>
    </xf>
    <xf numFmtId="166" fontId="0" fillId="0" borderId="24" xfId="0" applyNumberFormat="1" applyBorder="1"/>
    <xf numFmtId="165" fontId="1" fillId="0" borderId="22" xfId="0" applyFont="1" applyBorder="1" applyAlignment="1">
      <alignment horizontal="left"/>
    </xf>
    <xf numFmtId="166" fontId="0" fillId="0" borderId="25" xfId="0" applyNumberFormat="1" applyBorder="1"/>
    <xf numFmtId="166" fontId="0" fillId="0" borderId="26" xfId="0" applyNumberFormat="1" applyBorder="1"/>
    <xf numFmtId="165" fontId="1" fillId="0" borderId="9" xfId="0" applyFont="1" applyBorder="1"/>
    <xf numFmtId="1" fontId="0" fillId="0" borderId="11" xfId="0" applyNumberFormat="1" applyBorder="1"/>
    <xf numFmtId="1" fontId="0" fillId="0" borderId="13" xfId="0" applyNumberFormat="1" applyBorder="1"/>
    <xf numFmtId="1" fontId="0" fillId="0" borderId="15" xfId="0" applyNumberFormat="1" applyBorder="1"/>
    <xf numFmtId="1" fontId="0" fillId="0" borderId="10" xfId="0" applyNumberFormat="1" applyBorder="1"/>
    <xf numFmtId="168" fontId="0" fillId="0" borderId="0" xfId="0" applyNumberFormat="1" applyBorder="1"/>
    <xf numFmtId="168" fontId="0" fillId="0" borderId="12" xfId="0" applyNumberFormat="1" applyBorder="1"/>
    <xf numFmtId="168" fontId="0" fillId="0" borderId="16" xfId="0" applyNumberFormat="1" applyBorder="1"/>
    <xf numFmtId="168" fontId="0" fillId="0" borderId="14" xfId="0" applyNumberFormat="1" applyBorder="1"/>
    <xf numFmtId="165" fontId="1" fillId="0" borderId="13" xfId="0" applyFont="1" applyBorder="1"/>
    <xf numFmtId="168" fontId="0" fillId="0" borderId="15" xfId="0" applyNumberFormat="1" applyBorder="1"/>
    <xf numFmtId="168" fontId="0" fillId="0" borderId="10" xfId="0" applyNumberFormat="1" applyBorder="1"/>
    <xf numFmtId="165" fontId="15" fillId="0" borderId="11" xfId="0" applyFont="1" applyBorder="1"/>
    <xf numFmtId="168" fontId="15" fillId="0" borderId="0" xfId="0" applyNumberFormat="1" applyFont="1" applyBorder="1"/>
    <xf numFmtId="165" fontId="1" fillId="0" borderId="22" xfId="0" applyFont="1" applyBorder="1"/>
    <xf numFmtId="168" fontId="0" fillId="0" borderId="8" xfId="0" applyNumberFormat="1" applyBorder="1"/>
    <xf numFmtId="168" fontId="0" fillId="0" borderId="25" xfId="0" applyNumberFormat="1" applyBorder="1"/>
    <xf numFmtId="165" fontId="0" fillId="0" borderId="22" xfId="0" applyBorder="1" applyAlignment="1">
      <alignment horizontal="right"/>
    </xf>
    <xf numFmtId="166" fontId="0" fillId="0" borderId="13" xfId="0" applyNumberFormat="1" applyBorder="1"/>
    <xf numFmtId="166" fontId="0" fillId="3" borderId="0" xfId="0" applyNumberFormat="1" applyFill="1"/>
    <xf numFmtId="2" fontId="0" fillId="0" borderId="11" xfId="0" applyNumberFormat="1" applyBorder="1"/>
    <xf numFmtId="2" fontId="0" fillId="0" borderId="13" xfId="0" applyNumberFormat="1" applyBorder="1"/>
    <xf numFmtId="4" fontId="4" fillId="3" borderId="0" xfId="0" applyNumberFormat="1" applyFont="1" applyFill="1"/>
    <xf numFmtId="49" fontId="0" fillId="0" borderId="0" xfId="0" applyNumberFormat="1" applyBorder="1"/>
    <xf numFmtId="49" fontId="0" fillId="0" borderId="12" xfId="0" applyNumberFormat="1" applyBorder="1"/>
    <xf numFmtId="49" fontId="0" fillId="0" borderId="16" xfId="0" applyNumberFormat="1" applyBorder="1"/>
    <xf numFmtId="49" fontId="0" fillId="0" borderId="14" xfId="0" applyNumberFormat="1" applyBorder="1"/>
    <xf numFmtId="2" fontId="0" fillId="0" borderId="4" xfId="0" applyNumberFormat="1" applyBorder="1"/>
    <xf numFmtId="2" fontId="0" fillId="0" borderId="27" xfId="0" applyNumberFormat="1" applyBorder="1"/>
    <xf numFmtId="2" fontId="0" fillId="2" borderId="17" xfId="0" applyNumberFormat="1" applyFill="1" applyBorder="1"/>
    <xf numFmtId="2" fontId="0" fillId="0" borderId="1" xfId="0" applyNumberFormat="1" applyBorder="1"/>
    <xf numFmtId="2" fontId="0" fillId="0" borderId="2" xfId="0" applyNumberFormat="1" applyBorder="1"/>
    <xf numFmtId="2" fontId="3" fillId="0" borderId="0" xfId="0" applyNumberFormat="1" applyFont="1"/>
    <xf numFmtId="2" fontId="0" fillId="0" borderId="3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 applyBorder="1" applyAlignment="1">
      <alignment horizontal="right"/>
    </xf>
    <xf numFmtId="2" fontId="1" fillId="0" borderId="0" xfId="0" applyNumberFormat="1" applyFont="1"/>
    <xf numFmtId="2" fontId="0" fillId="0" borderId="9" xfId="0" applyNumberFormat="1" applyBorder="1"/>
    <xf numFmtId="2" fontId="3" fillId="0" borderId="16" xfId="0" applyNumberFormat="1" applyFont="1" applyBorder="1"/>
    <xf numFmtId="165" fontId="0" fillId="0" borderId="0" xfId="0" applyAlignment="1">
      <alignment horizontal="center"/>
    </xf>
    <xf numFmtId="165" fontId="0" fillId="0" borderId="0" xfId="0" applyAlignment="1">
      <alignment horizontal="center" vertical="center"/>
    </xf>
    <xf numFmtId="165" fontId="0" fillId="0" borderId="11" xfId="0" applyBorder="1" applyAlignment="1">
      <alignment horizontal="center"/>
    </xf>
    <xf numFmtId="165" fontId="0" fillId="0" borderId="13" xfId="0" applyBorder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/>
              <a:t>Ontario </a:t>
            </a:r>
            <a:r>
              <a:rPr lang="en-CA" sz="1000"/>
              <a:t>Case Production Cost Under Different Scenarios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64377440919446"/>
          <c:y val="0.1343268122588315"/>
          <c:w val="0.81691390139738307"/>
          <c:h val="0.444193164496991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'Maintenance &amp; Operations cost'!$R$4</c:f>
              <c:strCache>
                <c:ptCount val="1"/>
                <c:pt idx="0">
                  <c:v> Utility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cost'!$S$4:$V$4</c:f>
              <c:numCache>
                <c:formatCode>0</c:formatCode>
                <c:ptCount val="4"/>
                <c:pt idx="0">
                  <c:v>3.3144396900005439</c:v>
                </c:pt>
                <c:pt idx="1">
                  <c:v>5.7736498500005426</c:v>
                </c:pt>
                <c:pt idx="2">
                  <c:v>5.7736498500005453</c:v>
                </c:pt>
                <c:pt idx="3">
                  <c:v>6.2609010980005415</c:v>
                </c:pt>
              </c:numCache>
            </c:numRef>
          </c:val>
        </c:ser>
        <c:ser>
          <c:idx val="1"/>
          <c:order val="1"/>
          <c:tx>
            <c:strRef>
              <c:f>'Maintenance &amp; Operations cost'!$R$5</c:f>
              <c:strCache>
                <c:ptCount val="1"/>
                <c:pt idx="0">
                  <c:v>Operations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cost'!$S$5:$V$5</c:f>
              <c:numCache>
                <c:formatCode>0</c:formatCode>
                <c:ptCount val="4"/>
                <c:pt idx="0">
                  <c:v>0.37103999999999998</c:v>
                </c:pt>
                <c:pt idx="1">
                  <c:v>0.37103999999999998</c:v>
                </c:pt>
                <c:pt idx="2">
                  <c:v>0.37103999999999998</c:v>
                </c:pt>
                <c:pt idx="3">
                  <c:v>0.37103999999999998</c:v>
                </c:pt>
              </c:numCache>
            </c:numRef>
          </c:val>
        </c:ser>
        <c:ser>
          <c:idx val="2"/>
          <c:order val="2"/>
          <c:tx>
            <c:strRef>
              <c:f>'Maintenance &amp; Operations cost'!$R$6</c:f>
              <c:strCache>
                <c:ptCount val="1"/>
                <c:pt idx="0">
                  <c:v>Maintenance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cost'!$S$6:$V$6</c:f>
              <c:numCache>
                <c:formatCode>0</c:formatCode>
                <c:ptCount val="4"/>
                <c:pt idx="0">
                  <c:v>10.745293552981645</c:v>
                </c:pt>
                <c:pt idx="1">
                  <c:v>12.030417661823282</c:v>
                </c:pt>
                <c:pt idx="2">
                  <c:v>12.030417661823282</c:v>
                </c:pt>
                <c:pt idx="3">
                  <c:v>12.747258642503645</c:v>
                </c:pt>
              </c:numCache>
            </c:numRef>
          </c:val>
        </c:ser>
        <c:ser>
          <c:idx val="3"/>
          <c:order val="3"/>
          <c:tx>
            <c:strRef>
              <c:f>'Maintenance &amp; Operations cost'!$R$7</c:f>
              <c:strCache>
                <c:ptCount val="1"/>
                <c:pt idx="0">
                  <c:v>Operating Overhead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cost'!$S$7:$V$7</c:f>
              <c:numCache>
                <c:formatCode>0</c:formatCode>
                <c:ptCount val="4"/>
                <c:pt idx="0">
                  <c:v>1.3902148272172909</c:v>
                </c:pt>
                <c:pt idx="1">
                  <c:v>1.549458466791146</c:v>
                </c:pt>
                <c:pt idx="2">
                  <c:v>1.549458466791146</c:v>
                </c:pt>
                <c:pt idx="3">
                  <c:v>1.6382844143971909</c:v>
                </c:pt>
              </c:numCache>
            </c:numRef>
          </c:val>
        </c:ser>
        <c:ser>
          <c:idx val="4"/>
          <c:order val="4"/>
          <c:tx>
            <c:strRef>
              <c:f>'Maintenance &amp; Operations cost'!$R$8</c:f>
              <c:strCache>
                <c:ptCount val="1"/>
                <c:pt idx="0">
                  <c:v>Property Taxes and Insurance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cost'!$S$8:$V$8</c:f>
              <c:numCache>
                <c:formatCode>0</c:formatCode>
                <c:ptCount val="4"/>
                <c:pt idx="0">
                  <c:v>2.0763852276293031</c:v>
                </c:pt>
                <c:pt idx="1">
                  <c:v>2.3247183887581224</c:v>
                </c:pt>
                <c:pt idx="2">
                  <c:v>2.3247183887581224</c:v>
                </c:pt>
                <c:pt idx="3">
                  <c:v>2.4632383850248591</c:v>
                </c:pt>
              </c:numCache>
            </c:numRef>
          </c:val>
        </c:ser>
        <c:ser>
          <c:idx val="5"/>
          <c:order val="5"/>
          <c:tx>
            <c:strRef>
              <c:f>'Maintenance &amp; Operations cost'!$R$9</c:f>
              <c:strCache>
                <c:ptCount val="1"/>
                <c:pt idx="0">
                  <c:v>Depreciation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cost'!$S$9:$V$9</c:f>
              <c:numCache>
                <c:formatCode>0</c:formatCode>
                <c:ptCount val="4"/>
                <c:pt idx="0">
                  <c:v>8.3055409105172124</c:v>
                </c:pt>
                <c:pt idx="1">
                  <c:v>9.2988735550324897</c:v>
                </c:pt>
                <c:pt idx="2">
                  <c:v>9.2988735550324897</c:v>
                </c:pt>
                <c:pt idx="3">
                  <c:v>9.8529535400994366</c:v>
                </c:pt>
              </c:numCache>
            </c:numRef>
          </c:val>
        </c:ser>
        <c:ser>
          <c:idx val="6"/>
          <c:order val="6"/>
          <c:tx>
            <c:strRef>
              <c:f>'Maintenance &amp; Operations cost'!$R$10</c:f>
              <c:strCache>
                <c:ptCount val="1"/>
                <c:pt idx="0">
                  <c:v>General Expenses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'Maintenance &amp; Operations cost'!$S$3:$V$3</c:f>
              <c:strCache>
                <c:ptCount val="4"/>
                <c:pt idx="0">
                  <c:v>uCOG</c:v>
                </c:pt>
                <c:pt idx="1">
                  <c:v>uNG</c:v>
                </c:pt>
                <c:pt idx="2">
                  <c:v>uBFG</c:v>
                </c:pt>
                <c:pt idx="3">
                  <c:v>uNG_WGS</c:v>
                </c:pt>
              </c:strCache>
            </c:strRef>
          </c:cat>
          <c:val>
            <c:numRef>
              <c:f>'Maintenance &amp; Operations cost'!$S$10:$V$10</c:f>
              <c:numCache>
                <c:formatCode>0</c:formatCode>
                <c:ptCount val="4"/>
                <c:pt idx="0">
                  <c:v>5.7834299169448427</c:v>
                </c:pt>
                <c:pt idx="1">
                  <c:v>8.2301788387555757</c:v>
                </c:pt>
                <c:pt idx="2">
                  <c:v>8.2301788387555757</c:v>
                </c:pt>
                <c:pt idx="3">
                  <c:v>8.4312517989357758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873056"/>
        <c:axId val="529872272"/>
      </c:barChart>
      <c:catAx>
        <c:axId val="52987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9872272"/>
        <c:crosses val="autoZero"/>
        <c:auto val="1"/>
        <c:lblAlgn val="ctr"/>
        <c:lblOffset val="100"/>
        <c:noMultiLvlLbl val="0"/>
      </c:catAx>
      <c:valAx>
        <c:axId val="52987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/>
                  <a:t>Production Cost by Section (million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987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75666940976431"/>
          <c:y val="0.71244248802821597"/>
          <c:w val="0.7736245873627362"/>
          <c:h val="0.26371251571281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cost'!$T$4:$T$10</c:f>
              <c:numCache>
                <c:formatCode>0</c:formatCode>
                <c:ptCount val="7"/>
                <c:pt idx="0">
                  <c:v>5.7736498500005426</c:v>
                </c:pt>
                <c:pt idx="1">
                  <c:v>0.37103999999999998</c:v>
                </c:pt>
                <c:pt idx="2">
                  <c:v>12.030417661823282</c:v>
                </c:pt>
                <c:pt idx="3">
                  <c:v>1.549458466791146</c:v>
                </c:pt>
                <c:pt idx="4">
                  <c:v>2.3247183887581224</c:v>
                </c:pt>
                <c:pt idx="5">
                  <c:v>9.2988735550324897</c:v>
                </c:pt>
                <c:pt idx="6">
                  <c:v>8.2301788387555757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Sections-COG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cost'!$S$4:$S$10</c:f>
              <c:numCache>
                <c:formatCode>0</c:formatCode>
                <c:ptCount val="7"/>
                <c:pt idx="0">
                  <c:v>3.3144396900005439</c:v>
                </c:pt>
                <c:pt idx="1">
                  <c:v>0.37103999999999998</c:v>
                </c:pt>
                <c:pt idx="2">
                  <c:v>10.745293552981645</c:v>
                </c:pt>
                <c:pt idx="3">
                  <c:v>1.3902148272172909</c:v>
                </c:pt>
                <c:pt idx="4">
                  <c:v>2.0763852276293031</c:v>
                </c:pt>
                <c:pt idx="5">
                  <c:v>8.3055409105172124</c:v>
                </c:pt>
                <c:pt idx="6">
                  <c:v>5.7834299169448427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CA" sz="1200">
                <a:latin typeface="Times New Roman" panose="02020603050405020304" pitchFamily="18" charset="0"/>
                <a:cs typeface="Times New Roman" panose="02020603050405020304" pitchFamily="18" charset="0"/>
              </a:rPr>
              <a:t>Base Case Production Cost by Sections-WGS_NG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5555555555555552E-2"/>
                  <c:y val="4.62981189851268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6399825021873"/>
                      <c:h val="0.1463659230096237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'Maintenance &amp; Operations cost'!$R$4:$R$10</c:f>
              <c:strCache>
                <c:ptCount val="7"/>
                <c:pt idx="0">
                  <c:v> Utility </c:v>
                </c:pt>
                <c:pt idx="1">
                  <c:v>Operations</c:v>
                </c:pt>
                <c:pt idx="2">
                  <c:v>Maintenance </c:v>
                </c:pt>
                <c:pt idx="3">
                  <c:v>Operating Overhead </c:v>
                </c:pt>
                <c:pt idx="4">
                  <c:v>Property Taxes and Insurance</c:v>
                </c:pt>
                <c:pt idx="5">
                  <c:v>Depreciation</c:v>
                </c:pt>
                <c:pt idx="6">
                  <c:v>General Expenses</c:v>
                </c:pt>
              </c:strCache>
            </c:strRef>
          </c:cat>
          <c:val>
            <c:numRef>
              <c:f>'Maintenance &amp; Operations cost'!$V$4:$V$10</c:f>
              <c:numCache>
                <c:formatCode>0</c:formatCode>
                <c:ptCount val="7"/>
                <c:pt idx="0">
                  <c:v>6.2609010980005415</c:v>
                </c:pt>
                <c:pt idx="1">
                  <c:v>0.37103999999999998</c:v>
                </c:pt>
                <c:pt idx="2">
                  <c:v>12.747258642503645</c:v>
                </c:pt>
                <c:pt idx="3">
                  <c:v>1.6382844143971909</c:v>
                </c:pt>
                <c:pt idx="4">
                  <c:v>2.4632383850248591</c:v>
                </c:pt>
                <c:pt idx="5">
                  <c:v>9.8529535400994366</c:v>
                </c:pt>
                <c:pt idx="6">
                  <c:v>8.4312517989357758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11</xdr:row>
      <xdr:rowOff>128586</xdr:rowOff>
    </xdr:from>
    <xdr:to>
      <xdr:col>17</xdr:col>
      <xdr:colOff>314325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619124</xdr:colOff>
      <xdr:row>29</xdr:row>
      <xdr:rowOff>166686</xdr:rowOff>
    </xdr:from>
    <xdr:to>
      <xdr:col>23</xdr:col>
      <xdr:colOff>609599</xdr:colOff>
      <xdr:row>45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85726</xdr:colOff>
      <xdr:row>12</xdr:row>
      <xdr:rowOff>180975</xdr:rowOff>
    </xdr:from>
    <xdr:to>
      <xdr:col>27</xdr:col>
      <xdr:colOff>352426</xdr:colOff>
      <xdr:row>29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152400</xdr:colOff>
      <xdr:row>30</xdr:row>
      <xdr:rowOff>152400</xdr:rowOff>
    </xdr:from>
    <xdr:to>
      <xdr:col>19</xdr:col>
      <xdr:colOff>190500</xdr:colOff>
      <xdr:row>46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lationtool.com/chinese-renminbi?amount=388&amp;year1=2017&amp;year2=2018;%20accessed%20June%205th,%202019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www.statbureau.org/en/mexico/inflation-calculators?dateBack=2017-12-1&amp;dateTo=2018-7-1&amp;amount=75.76;%20accessed%20June%205th,%202019" TargetMode="External"/><Relationship Id="rId1" Type="http://schemas.openxmlformats.org/officeDocument/2006/relationships/hyperlink" Target="https://www.worlddata.info/europe/finland/inflation-rates.php;%20accessed%20June%205th,%202019" TargetMode="External"/><Relationship Id="rId6" Type="http://schemas.openxmlformats.org/officeDocument/2006/relationships/hyperlink" Target="https://www.ofx.com/en-ca/forex-news/historical-exchange-rates/yearly-average-rates/" TargetMode="External"/><Relationship Id="rId5" Type="http://schemas.openxmlformats.org/officeDocument/2006/relationships/hyperlink" Target="https://inflationcalculator.ca/ontario/;accessed%20June%205th,%202019" TargetMode="External"/><Relationship Id="rId4" Type="http://schemas.openxmlformats.org/officeDocument/2006/relationships/hyperlink" Target="https://www.usinflationcalculator.com/;%20accessed%20June%205th,%202019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e.com/currencytables/" TargetMode="External"/><Relationship Id="rId13" Type="http://schemas.openxmlformats.org/officeDocument/2006/relationships/hyperlink" Target="https://wenku.baidu.com/view/3f15a7efaeaad1f346933fcd.html?rec_flag=default&amp;sxts=1558625924220" TargetMode="External"/><Relationship Id="rId18" Type="http://schemas.openxmlformats.org/officeDocument/2006/relationships/hyperlink" Target="https://www.ofx.com/en-ca/forex-news/historical-exchange-rates/yearly-average-rates/" TargetMode="External"/><Relationship Id="rId3" Type="http://schemas.openxmlformats.org/officeDocument/2006/relationships/hyperlink" Target="https://wenku.baidu.com/view/376fb2e3f46527d3250ce01f.html" TargetMode="External"/><Relationship Id="rId21" Type="http://schemas.openxmlformats.org/officeDocument/2006/relationships/hyperlink" Target="https://www.ceicdata.com/en/china/electricity-price/cn-usage-price-electricity-for-industry-35-kv--above-shanghai" TargetMode="External"/><Relationship Id="rId7" Type="http://schemas.openxmlformats.org/officeDocument/2006/relationships/hyperlink" Target="https://www.xe.com/currencytables/" TargetMode="External"/><Relationship Id="rId12" Type="http://schemas.openxmlformats.org/officeDocument/2006/relationships/hyperlink" Target="http://www.sohu.com/a/258393602_117460" TargetMode="External"/><Relationship Id="rId17" Type="http://schemas.openxmlformats.org/officeDocument/2006/relationships/hyperlink" Target="https://www.ofx.com/en-ca/forex-news/historical-exchange-rates/yearly-average-rates/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www.douban.com/note/591540114/" TargetMode="External"/><Relationship Id="rId16" Type="http://schemas.openxmlformats.org/officeDocument/2006/relationships/hyperlink" Target="https://www.statista.com/statistics/483230/ontario-yearly-average-electricity-market-price/" TargetMode="External"/><Relationship Id="rId20" Type="http://schemas.openxmlformats.org/officeDocument/2006/relationships/hyperlink" Target="https://www.ceicdata.com/en/china/electricity-price/cn-usage-price-electricity-for-industry-35-kv--above-shanghai" TargetMode="External"/><Relationship Id="rId1" Type="http://schemas.openxmlformats.org/officeDocument/2006/relationships/hyperlink" Target="http://www.in-en.com/article/html/energy-2264652.shtml" TargetMode="External"/><Relationship Id="rId6" Type="http://schemas.openxmlformats.org/officeDocument/2006/relationships/hyperlink" Target="https://www.xe.com/currencytables/" TargetMode="External"/><Relationship Id="rId11" Type="http://schemas.openxmlformats.org/officeDocument/2006/relationships/hyperlink" Target="http://www.ieso.ca/Learn/Electricity-Pricing/For-Mid-sized-and-Large-Businesses" TargetMode="External"/><Relationship Id="rId24" Type="http://schemas.openxmlformats.org/officeDocument/2006/relationships/hyperlink" Target="http://www.sohu.com/a/271827080_146940" TargetMode="External"/><Relationship Id="rId5" Type="http://schemas.openxmlformats.org/officeDocument/2006/relationships/hyperlink" Target="https://wenku.baidu.com/view/1c8fb39a5ff7ba0d4a7302768e9951e79b8969c0.html" TargetMode="External"/><Relationship Id="rId15" Type="http://schemas.openxmlformats.org/officeDocument/2006/relationships/hyperlink" Target="https://www.statista.com/statistics/595853/electricity-industry-price-finland/" TargetMode="External"/><Relationship Id="rId23" Type="http://schemas.openxmlformats.org/officeDocument/2006/relationships/hyperlink" Target="https://www.ofx.com/en-ca/forex-news/historical-exchange-rates/yearly-average-rates/" TargetMode="External"/><Relationship Id="rId10" Type="http://schemas.openxmlformats.org/officeDocument/2006/relationships/hyperlink" Target="https://datos.gob.mx/busca/dataset/precios-medios-de-energia-electrica-por-tipo-de-tarifa?fbclid=IwAR12XrfUdQMVV4ENQxlNmXX7xNEYgo4zAxONNfuIQOfMjbDteR9c5S5dR7E" TargetMode="External"/><Relationship Id="rId19" Type="http://schemas.openxmlformats.org/officeDocument/2006/relationships/hyperlink" Target="https://fxtop.com/en/historical-exchange-rates.php?A=1&amp;C1=CNY&amp;C2=USD&amp;YA=1&amp;DD1=&amp;MM1=&amp;YYYY1=2006&amp;B=1&amp;P=&amp;I=1&amp;DD2=23&amp;MM2=05&amp;YYYY2=2019&amp;btnOK=Go%21" TargetMode="External"/><Relationship Id="rId4" Type="http://schemas.openxmlformats.org/officeDocument/2006/relationships/hyperlink" Target="https://www.docin.com/p-1453851687.html" TargetMode="External"/><Relationship Id="rId9" Type="http://schemas.openxmlformats.org/officeDocument/2006/relationships/hyperlink" Target="https://www.eia.gov/totalenergy/data/annual/" TargetMode="External"/><Relationship Id="rId14" Type="http://schemas.openxmlformats.org/officeDocument/2006/relationships/hyperlink" Target="https://wenku.baidu.com/view/8ad598d233d4b14e85246858.html?sxts=1558626092567" TargetMode="External"/><Relationship Id="rId22" Type="http://schemas.openxmlformats.org/officeDocument/2006/relationships/hyperlink" Target="https://www.ceicdata.com/en/china/electricity-price/cn-usage-price-electricity-for-industry-35-kv--above-shanghai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44"/>
  <sheetViews>
    <sheetView topLeftCell="A4" workbookViewId="0">
      <selection activeCell="D6" sqref="D6"/>
    </sheetView>
  </sheetViews>
  <sheetFormatPr defaultRowHeight="15"/>
  <cols>
    <col min="2" max="2" width="53.42578125" bestFit="1" customWidth="1"/>
    <col min="3" max="3" width="29.28515625" bestFit="1" customWidth="1"/>
    <col min="8" max="8" width="9.85546875" customWidth="1"/>
    <col min="11" max="11" width="12.7109375" customWidth="1"/>
  </cols>
  <sheetData>
    <row r="2" spans="1:8">
      <c r="B2" t="s">
        <v>91</v>
      </c>
    </row>
    <row r="3" spans="1:8">
      <c r="C3" t="s">
        <v>111</v>
      </c>
      <c r="D3" t="s">
        <v>112</v>
      </c>
      <c r="E3" t="s">
        <v>193</v>
      </c>
      <c r="F3" t="s">
        <v>257</v>
      </c>
    </row>
    <row r="4" spans="1:8">
      <c r="A4" s="15"/>
      <c r="B4" s="16" t="s">
        <v>113</v>
      </c>
      <c r="C4" s="16"/>
      <c r="D4" s="16"/>
      <c r="E4" s="16"/>
      <c r="F4" s="16"/>
      <c r="G4" s="16"/>
      <c r="H4" s="17"/>
    </row>
    <row r="5" spans="1:8">
      <c r="A5" s="18"/>
      <c r="B5" s="38" t="s">
        <v>114</v>
      </c>
      <c r="C5" s="48">
        <f>'COG utility'!C24</f>
        <v>36.648990885860336</v>
      </c>
      <c r="D5" s="48">
        <f>'NG utility'!C24</f>
        <v>41.032165856363356</v>
      </c>
      <c r="E5" s="32">
        <f>'BFG utility'!C24</f>
        <v>41.032165856363356</v>
      </c>
      <c r="F5" s="19">
        <f>'NG utility with WGS'!C30</f>
        <v>43.477096600975344</v>
      </c>
      <c r="G5" s="19"/>
      <c r="H5" s="20"/>
    </row>
    <row r="6" spans="1:8">
      <c r="C6" s="30"/>
      <c r="D6" s="30"/>
      <c r="E6" s="30"/>
    </row>
    <row r="7" spans="1:8">
      <c r="A7" s="6" t="s">
        <v>93</v>
      </c>
      <c r="B7" s="13"/>
      <c r="C7" s="33"/>
      <c r="D7" s="33"/>
      <c r="E7" s="33"/>
      <c r="F7" s="13"/>
      <c r="G7" s="13"/>
      <c r="H7" s="5"/>
    </row>
    <row r="8" spans="1:8">
      <c r="A8" s="9"/>
      <c r="B8" s="2" t="s">
        <v>115</v>
      </c>
      <c r="C8" s="34">
        <f>0.714*C5</f>
        <v>26.167379492504278</v>
      </c>
      <c r="D8" s="34">
        <f>0.714*D5</f>
        <v>29.296966421443436</v>
      </c>
      <c r="E8" s="34">
        <f>0.714*E5</f>
        <v>29.296966421443436</v>
      </c>
      <c r="F8" s="34">
        <f>0.714*F5</f>
        <v>31.042646973096392</v>
      </c>
      <c r="G8" s="2"/>
      <c r="H8" s="8"/>
    </row>
    <row r="9" spans="1:8">
      <c r="A9" s="9"/>
      <c r="B9" s="2"/>
      <c r="C9" s="34"/>
      <c r="D9" s="34"/>
      <c r="E9" s="34"/>
      <c r="F9" s="2"/>
      <c r="G9" s="2"/>
      <c r="H9" s="8"/>
    </row>
    <row r="10" spans="1:8">
      <c r="A10" s="9" t="s">
        <v>94</v>
      </c>
      <c r="B10" s="2"/>
      <c r="C10" s="34"/>
      <c r="D10" s="34"/>
      <c r="E10" s="34"/>
      <c r="F10" s="2"/>
      <c r="G10" s="2"/>
      <c r="H10" s="8"/>
    </row>
    <row r="11" spans="1:8">
      <c r="A11" s="9"/>
      <c r="B11" s="2" t="s">
        <v>116</v>
      </c>
      <c r="C11" s="34">
        <f>0.63*C5</f>
        <v>23.088864258092013</v>
      </c>
      <c r="D11" s="34">
        <f>0.63*D5</f>
        <v>25.850264489508916</v>
      </c>
      <c r="E11" s="34">
        <f>0.63*E5</f>
        <v>25.850264489508916</v>
      </c>
      <c r="F11" s="34">
        <f>0.63*F5</f>
        <v>27.390570858614467</v>
      </c>
      <c r="G11" s="2"/>
      <c r="H11" s="8"/>
    </row>
    <row r="12" spans="1:8">
      <c r="A12" s="12"/>
      <c r="B12" s="14"/>
      <c r="C12" s="35"/>
      <c r="D12" s="35"/>
      <c r="E12" s="35"/>
      <c r="F12" s="14"/>
      <c r="G12" s="14"/>
      <c r="H12" s="11"/>
    </row>
    <row r="13" spans="1:8">
      <c r="A13" s="23" t="s">
        <v>95</v>
      </c>
      <c r="B13" s="16"/>
      <c r="C13" s="36"/>
      <c r="D13" s="36"/>
      <c r="E13" s="36"/>
      <c r="F13" s="16"/>
      <c r="G13" s="16"/>
      <c r="H13" s="17"/>
    </row>
    <row r="14" spans="1:8">
      <c r="A14" s="18"/>
      <c r="B14" s="19" t="s">
        <v>121</v>
      </c>
      <c r="C14" s="32">
        <f>C5+C8+C11</f>
        <v>85.905234636456626</v>
      </c>
      <c r="D14" s="32">
        <f>D5+D8+D11</f>
        <v>96.179396767315708</v>
      </c>
      <c r="E14" s="32">
        <f>E5+E8+E11</f>
        <v>96.179396767315708</v>
      </c>
      <c r="F14" s="32">
        <f>F5+F8+F11</f>
        <v>101.91031443268621</v>
      </c>
      <c r="G14" s="19"/>
      <c r="H14" s="20"/>
    </row>
    <row r="15" spans="1:8">
      <c r="C15" s="30"/>
      <c r="D15" s="30"/>
      <c r="E15" s="30"/>
    </row>
    <row r="16" spans="1:8">
      <c r="A16" s="6" t="s">
        <v>96</v>
      </c>
      <c r="B16" s="13"/>
      <c r="C16" s="33"/>
      <c r="D16" s="33"/>
      <c r="E16" s="33"/>
      <c r="F16" s="13"/>
      <c r="G16" s="13"/>
      <c r="H16" s="5"/>
    </row>
    <row r="17" spans="1:8">
      <c r="A17" s="9"/>
      <c r="B17" s="2" t="s">
        <v>117</v>
      </c>
      <c r="C17" s="34">
        <f>0.08*C5</f>
        <v>2.9319192708688271</v>
      </c>
      <c r="D17" s="34">
        <f>0.08*D5</f>
        <v>3.2825732685090685</v>
      </c>
      <c r="E17" s="34">
        <f>0.08*E5</f>
        <v>3.2825732685090685</v>
      </c>
      <c r="F17" s="34">
        <f>0.08*F5</f>
        <v>3.4781677280780277</v>
      </c>
      <c r="G17" s="2"/>
      <c r="H17" s="8"/>
    </row>
    <row r="18" spans="1:8">
      <c r="A18" s="9"/>
      <c r="B18" s="2"/>
      <c r="C18" s="34"/>
      <c r="D18" s="34"/>
      <c r="E18" s="34"/>
      <c r="F18" s="2"/>
      <c r="G18" s="2"/>
      <c r="H18" s="8"/>
    </row>
    <row r="19" spans="1:8">
      <c r="A19" s="9" t="s">
        <v>97</v>
      </c>
      <c r="B19" s="2"/>
      <c r="C19" s="34"/>
      <c r="D19" s="34"/>
      <c r="E19" s="34"/>
      <c r="F19" s="2"/>
      <c r="G19" s="2"/>
      <c r="H19" s="8"/>
    </row>
    <row r="20" spans="1:8">
      <c r="A20" s="9"/>
      <c r="B20" s="2" t="s">
        <v>118</v>
      </c>
      <c r="C20" s="34">
        <f>0.571*C5</f>
        <v>20.926573795826251</v>
      </c>
      <c r="D20" s="34">
        <f>0.571*D5</f>
        <v>23.429366703983476</v>
      </c>
      <c r="E20" s="34">
        <f>0.571*E5</f>
        <v>23.429366703983476</v>
      </c>
      <c r="F20" s="34">
        <f>0.571*F5</f>
        <v>24.825422159156918</v>
      </c>
      <c r="G20" s="2"/>
      <c r="H20" s="8"/>
    </row>
    <row r="21" spans="1:8">
      <c r="A21" s="9"/>
      <c r="B21" s="2"/>
      <c r="C21" s="34"/>
      <c r="D21" s="34"/>
      <c r="E21" s="34"/>
      <c r="F21" s="2"/>
      <c r="G21" s="2"/>
      <c r="H21" s="8"/>
    </row>
    <row r="22" spans="1:8">
      <c r="A22" s="9" t="s">
        <v>98</v>
      </c>
      <c r="B22" s="2"/>
      <c r="C22" s="34"/>
      <c r="D22" s="34"/>
      <c r="E22" s="34"/>
      <c r="F22" s="2"/>
      <c r="G22" s="2"/>
      <c r="H22" s="8"/>
    </row>
    <row r="23" spans="1:8">
      <c r="A23" s="9"/>
      <c r="B23" s="2" t="s">
        <v>119</v>
      </c>
      <c r="C23" s="34">
        <f>0.296*C5</f>
        <v>10.848101302214658</v>
      </c>
      <c r="D23" s="34">
        <f>0.296*D5</f>
        <v>12.145521093483552</v>
      </c>
      <c r="E23" s="34">
        <f>0.296*E5</f>
        <v>12.145521093483552</v>
      </c>
      <c r="F23" s="34">
        <f>0.296*F5</f>
        <v>12.8692205938887</v>
      </c>
      <c r="G23" s="2"/>
      <c r="H23" s="8"/>
    </row>
    <row r="24" spans="1:8">
      <c r="A24" s="9"/>
      <c r="B24" s="2"/>
      <c r="C24" s="34"/>
      <c r="D24" s="34"/>
      <c r="E24" s="34"/>
      <c r="F24" s="2"/>
      <c r="G24" s="2"/>
      <c r="H24" s="8"/>
    </row>
    <row r="25" spans="1:8">
      <c r="A25" s="9" t="s">
        <v>99</v>
      </c>
      <c r="B25" s="2"/>
      <c r="C25" s="34"/>
      <c r="D25" s="34"/>
      <c r="E25" s="34"/>
      <c r="F25" s="2"/>
      <c r="G25" s="2"/>
      <c r="H25" s="8"/>
    </row>
    <row r="26" spans="1:8">
      <c r="A26" s="9"/>
      <c r="B26" s="2" t="s">
        <v>120</v>
      </c>
      <c r="C26" s="34">
        <f>0.25*C5</f>
        <v>9.1622477214650839</v>
      </c>
      <c r="D26" s="34">
        <f>0.25*D5</f>
        <v>10.258041464090839</v>
      </c>
      <c r="E26" s="34">
        <f>0.25*E5</f>
        <v>10.258041464090839</v>
      </c>
      <c r="F26" s="34">
        <f>0.25*F5</f>
        <v>10.869274150243836</v>
      </c>
      <c r="G26" s="2"/>
      <c r="H26" s="8"/>
    </row>
    <row r="27" spans="1:8">
      <c r="A27" s="12"/>
      <c r="B27" s="14"/>
      <c r="C27" s="35"/>
      <c r="D27" s="35"/>
      <c r="E27" s="35"/>
      <c r="F27" s="14"/>
      <c r="G27" s="14"/>
      <c r="H27" s="11"/>
    </row>
    <row r="28" spans="1:8">
      <c r="A28" s="15" t="s">
        <v>100</v>
      </c>
      <c r="B28" s="16"/>
      <c r="C28" s="36"/>
      <c r="D28" s="36"/>
      <c r="E28" s="36"/>
      <c r="F28" s="16"/>
      <c r="G28" s="16"/>
      <c r="H28" s="17"/>
    </row>
    <row r="29" spans="1:8">
      <c r="A29" s="18"/>
      <c r="B29" s="19" t="s">
        <v>101</v>
      </c>
      <c r="C29" s="32">
        <f>C17+C20+C23+C26</f>
        <v>43.86884209037482</v>
      </c>
      <c r="D29" s="32">
        <f>D17+D20+D23+D26</f>
        <v>49.115502530066934</v>
      </c>
      <c r="E29" s="32">
        <f>E17+E20+E23+E26</f>
        <v>49.115502530066934</v>
      </c>
      <c r="F29" s="32">
        <f>F17+F20+F23+F26</f>
        <v>52.042084631367487</v>
      </c>
      <c r="G29" s="19"/>
      <c r="H29" s="20"/>
    </row>
    <row r="30" spans="1:8">
      <c r="C30" s="30"/>
      <c r="D30" s="30"/>
      <c r="E30" s="30"/>
    </row>
    <row r="31" spans="1:8">
      <c r="A31" s="24" t="s">
        <v>102</v>
      </c>
      <c r="B31" s="21"/>
      <c r="C31" s="37"/>
      <c r="D31" s="37"/>
      <c r="E31" s="37"/>
      <c r="F31" s="21"/>
      <c r="G31" s="21"/>
      <c r="H31" s="22"/>
    </row>
    <row r="32" spans="1:8">
      <c r="A32" s="18"/>
      <c r="B32" s="19" t="s">
        <v>122</v>
      </c>
      <c r="C32" s="32">
        <f>C14+C29</f>
        <v>129.77407672683145</v>
      </c>
      <c r="D32" s="32">
        <f>D14+D29</f>
        <v>145.29489929738264</v>
      </c>
      <c r="E32" s="32">
        <f>E14+E29</f>
        <v>145.29489929738264</v>
      </c>
      <c r="F32" s="32">
        <f>F14+F29</f>
        <v>153.95239906405368</v>
      </c>
      <c r="G32" s="19"/>
      <c r="H32" s="20"/>
    </row>
    <row r="33" spans="1:8">
      <c r="C33" s="30"/>
      <c r="D33" s="30"/>
      <c r="E33" s="30"/>
    </row>
    <row r="34" spans="1:8">
      <c r="A34" s="6" t="s">
        <v>103</v>
      </c>
      <c r="B34" s="13"/>
      <c r="C34" s="33"/>
      <c r="D34" s="33"/>
      <c r="E34" s="33"/>
      <c r="F34" s="13"/>
      <c r="G34" s="13"/>
      <c r="H34" s="5"/>
    </row>
    <row r="35" spans="1:8">
      <c r="A35" s="9"/>
      <c r="B35" s="2" t="s">
        <v>104</v>
      </c>
      <c r="C35" s="34">
        <f>0.02*C32</f>
        <v>2.5954815345366291</v>
      </c>
      <c r="D35" s="34">
        <f>0.02*D32</f>
        <v>2.9058979859476528</v>
      </c>
      <c r="E35" s="34">
        <f>0.02*E32</f>
        <v>2.9058979859476528</v>
      </c>
      <c r="F35" s="34">
        <f>0.02*F32</f>
        <v>3.0790479812810738</v>
      </c>
      <c r="G35" s="2"/>
      <c r="H35" s="8"/>
    </row>
    <row r="36" spans="1:8">
      <c r="A36" s="9"/>
      <c r="B36" s="2"/>
      <c r="C36" s="34"/>
      <c r="D36" s="34"/>
      <c r="E36" s="34"/>
      <c r="F36" s="2"/>
      <c r="G36" s="2"/>
      <c r="H36" s="8"/>
    </row>
    <row r="37" spans="1:8">
      <c r="A37" s="9" t="s">
        <v>105</v>
      </c>
      <c r="B37" s="2"/>
      <c r="C37" s="34"/>
      <c r="D37" s="34"/>
      <c r="E37" s="34"/>
      <c r="F37" s="2"/>
      <c r="G37" s="2"/>
      <c r="H37" s="8"/>
    </row>
    <row r="38" spans="1:8">
      <c r="A38" s="9"/>
      <c r="B38" s="2" t="s">
        <v>106</v>
      </c>
      <c r="C38" s="34">
        <f>0.02*C32</f>
        <v>2.5954815345366291</v>
      </c>
      <c r="D38" s="34">
        <f>0.02*D32</f>
        <v>2.9058979859476528</v>
      </c>
      <c r="E38" s="34">
        <f>0.02*E32</f>
        <v>2.9058979859476528</v>
      </c>
      <c r="F38" s="34">
        <f>0.02*F32</f>
        <v>3.0790479812810738</v>
      </c>
      <c r="G38" s="2"/>
      <c r="H38" s="8"/>
    </row>
    <row r="39" spans="1:8">
      <c r="A39" s="9"/>
      <c r="B39" s="2"/>
      <c r="C39" s="34"/>
      <c r="D39" s="34"/>
      <c r="E39" s="34"/>
      <c r="F39" s="2"/>
      <c r="G39" s="2"/>
      <c r="H39" s="8"/>
    </row>
    <row r="40" spans="1:8">
      <c r="A40" s="9" t="s">
        <v>107</v>
      </c>
      <c r="B40" s="2"/>
      <c r="C40" s="34"/>
      <c r="D40" s="34"/>
      <c r="E40" s="34"/>
      <c r="F40" s="2"/>
      <c r="G40" s="2"/>
      <c r="H40" s="8"/>
    </row>
    <row r="41" spans="1:8">
      <c r="A41" s="9"/>
      <c r="B41" s="2" t="s">
        <v>108</v>
      </c>
      <c r="C41" s="34">
        <f>0.1*C32</f>
        <v>12.977407672683146</v>
      </c>
      <c r="D41" s="34">
        <f>0.1*D32</f>
        <v>14.529489929738265</v>
      </c>
      <c r="E41" s="34">
        <f>0.1*E32</f>
        <v>14.529489929738265</v>
      </c>
      <c r="F41" s="34">
        <f>0.1*F32</f>
        <v>15.395239906405369</v>
      </c>
      <c r="G41" s="2"/>
      <c r="H41" s="8"/>
    </row>
    <row r="42" spans="1:8">
      <c r="A42" s="12"/>
      <c r="B42" s="14"/>
      <c r="C42" s="35"/>
      <c r="D42" s="35"/>
      <c r="E42" s="35"/>
      <c r="F42" s="14"/>
      <c r="G42" s="14"/>
      <c r="H42" s="11"/>
    </row>
    <row r="43" spans="1:8">
      <c r="A43" s="15" t="s">
        <v>109</v>
      </c>
      <c r="B43" s="16"/>
      <c r="C43" s="36"/>
      <c r="D43" s="36"/>
      <c r="E43" s="36"/>
      <c r="F43" s="16"/>
      <c r="G43" s="16"/>
      <c r="H43" s="17"/>
    </row>
    <row r="44" spans="1:8">
      <c r="A44" s="18"/>
      <c r="B44" s="19" t="s">
        <v>110</v>
      </c>
      <c r="C44" s="32">
        <f>C32+C35+C38+C41</f>
        <v>147.94244746858783</v>
      </c>
      <c r="D44" s="32">
        <f>(D32+D35+D38+D41)</f>
        <v>165.63618519901624</v>
      </c>
      <c r="E44" s="32">
        <f>E32+E35+E38+E41</f>
        <v>165.63618519901624</v>
      </c>
      <c r="F44" s="32">
        <f>F32+F35+F38+F41</f>
        <v>175.50573493302119</v>
      </c>
      <c r="G44" s="19"/>
      <c r="H44" s="20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D31"/>
  <sheetViews>
    <sheetView workbookViewId="0">
      <selection activeCell="N21" sqref="N21"/>
    </sheetView>
  </sheetViews>
  <sheetFormatPr defaultRowHeight="15"/>
  <cols>
    <col min="3" max="3" width="19.7109375" bestFit="1" customWidth="1"/>
    <col min="4" max="8" width="24.85546875" bestFit="1" customWidth="1"/>
    <col min="17" max="17" width="23.85546875" bestFit="1" customWidth="1"/>
  </cols>
  <sheetData>
    <row r="1" spans="2:30" ht="15.75" thickBot="1">
      <c r="C1" t="s">
        <v>128</v>
      </c>
      <c r="D1" s="74">
        <f>'COG utility'!I17</f>
        <v>6.5659796367074357</v>
      </c>
      <c r="E1" s="74">
        <v>6.5</v>
      </c>
      <c r="F1" s="74">
        <v>5.5</v>
      </c>
      <c r="G1" s="74">
        <v>4.5</v>
      </c>
      <c r="H1" s="74">
        <v>3.5</v>
      </c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2:30">
      <c r="B2" s="172" t="s">
        <v>285</v>
      </c>
      <c r="C2" t="s">
        <v>133</v>
      </c>
      <c r="D2" s="74"/>
      <c r="E2" s="74"/>
      <c r="F2" s="74"/>
      <c r="G2" s="74"/>
      <c r="H2" s="74"/>
      <c r="T2" s="25"/>
      <c r="U2" s="39" t="s">
        <v>128</v>
      </c>
      <c r="V2" s="54">
        <f>M2</f>
        <v>0</v>
      </c>
      <c r="W2" s="54">
        <v>6.5</v>
      </c>
      <c r="X2" s="54">
        <v>5.5</v>
      </c>
      <c r="Y2" s="54">
        <v>4.5</v>
      </c>
      <c r="Z2" s="55">
        <v>3.5</v>
      </c>
    </row>
    <row r="3" spans="2:30">
      <c r="B3" s="172"/>
      <c r="C3" t="s">
        <v>299</v>
      </c>
      <c r="D3" s="74"/>
      <c r="E3" s="74"/>
      <c r="F3" s="74"/>
      <c r="G3" s="74"/>
      <c r="H3" s="74"/>
      <c r="T3" s="173" t="s">
        <v>285</v>
      </c>
      <c r="U3" s="2" t="s">
        <v>133</v>
      </c>
      <c r="V3" s="34">
        <v>87</v>
      </c>
      <c r="W3" s="34">
        <v>85</v>
      </c>
      <c r="X3" s="34">
        <v>53</v>
      </c>
      <c r="Y3" s="34">
        <v>20</v>
      </c>
      <c r="Z3" s="56">
        <v>-12</v>
      </c>
    </row>
    <row r="4" spans="2:30" ht="18">
      <c r="B4" s="172"/>
      <c r="C4" t="s">
        <v>304</v>
      </c>
      <c r="D4" s="74"/>
      <c r="E4" s="74"/>
      <c r="F4" s="74"/>
      <c r="G4" s="74"/>
      <c r="H4" s="74"/>
      <c r="T4" s="173"/>
      <c r="U4" s="2" t="s">
        <v>312</v>
      </c>
      <c r="V4" s="34">
        <v>-15.352233453126098</v>
      </c>
      <c r="W4" s="34">
        <v>-14.975089623354048</v>
      </c>
      <c r="X4" s="34">
        <v>-9.2590255679488749</v>
      </c>
      <c r="Y4" s="34">
        <v>-3.5429615125437026</v>
      </c>
      <c r="Z4" s="56">
        <v>2.1731025428614563</v>
      </c>
    </row>
    <row r="5" spans="2:30">
      <c r="B5" s="172"/>
      <c r="C5" t="s">
        <v>303</v>
      </c>
      <c r="D5" s="74"/>
      <c r="E5" s="74"/>
      <c r="F5" s="74"/>
      <c r="G5" s="74"/>
      <c r="H5" s="74"/>
      <c r="T5" s="173" t="s">
        <v>286</v>
      </c>
      <c r="U5" s="2" t="s">
        <v>133</v>
      </c>
      <c r="V5" s="34">
        <v>-44</v>
      </c>
      <c r="W5" s="34">
        <v>-46</v>
      </c>
      <c r="X5" s="34">
        <v>-63</v>
      </c>
      <c r="Y5" s="34">
        <v>-81</v>
      </c>
      <c r="Z5" s="56">
        <v>-98</v>
      </c>
    </row>
    <row r="6" spans="2:30" ht="18">
      <c r="B6" s="172"/>
      <c r="C6" t="s">
        <v>300</v>
      </c>
      <c r="D6" s="74"/>
      <c r="E6" s="74"/>
      <c r="F6" s="74"/>
      <c r="G6" s="74"/>
      <c r="H6" s="74"/>
      <c r="T6" s="173"/>
      <c r="U6" s="2" t="s">
        <v>312</v>
      </c>
      <c r="V6" s="34">
        <v>20.589371076963417</v>
      </c>
      <c r="W6" s="34">
        <v>21.128219084682065</v>
      </c>
      <c r="X6" s="34">
        <v>29.295102605244743</v>
      </c>
      <c r="Y6" s="34">
        <v>37.461986125807385</v>
      </c>
      <c r="Z6" s="56">
        <v>45.628869646370021</v>
      </c>
    </row>
    <row r="7" spans="2:30" ht="18">
      <c r="B7" s="172"/>
      <c r="C7" t="s">
        <v>312</v>
      </c>
      <c r="D7" s="74"/>
      <c r="E7" s="74"/>
      <c r="F7" s="74"/>
      <c r="G7" s="74"/>
      <c r="H7" s="74"/>
      <c r="T7" s="173" t="s">
        <v>287</v>
      </c>
      <c r="U7" s="2" t="s">
        <v>133</v>
      </c>
      <c r="V7" s="34">
        <v>-211</v>
      </c>
      <c r="W7" s="34">
        <v>-210</v>
      </c>
      <c r="X7" s="34">
        <v>-205</v>
      </c>
      <c r="Y7" s="34">
        <v>-200</v>
      </c>
      <c r="Z7" s="56">
        <v>-195</v>
      </c>
    </row>
    <row r="8" spans="2:30" ht="18">
      <c r="B8" s="172" t="s">
        <v>286</v>
      </c>
      <c r="C8" t="s">
        <v>133</v>
      </c>
      <c r="D8" s="74"/>
      <c r="E8" s="74"/>
      <c r="F8" s="74"/>
      <c r="G8" s="74"/>
      <c r="H8" s="74"/>
      <c r="T8" s="173"/>
      <c r="U8" s="2" t="s">
        <v>312</v>
      </c>
      <c r="V8" s="34">
        <v>51.313733781471271</v>
      </c>
      <c r="W8" s="34">
        <v>51.230919256775756</v>
      </c>
      <c r="X8" s="34">
        <v>49.975766472853522</v>
      </c>
      <c r="Y8" s="34">
        <v>48.720613688931316</v>
      </c>
      <c r="Z8" s="56">
        <v>47.465460905009081</v>
      </c>
    </row>
    <row r="9" spans="2:30">
      <c r="B9" s="172"/>
      <c r="C9" t="s">
        <v>299</v>
      </c>
      <c r="D9" s="74"/>
      <c r="E9" s="74"/>
      <c r="F9" s="74"/>
      <c r="G9" s="74"/>
      <c r="H9" s="74"/>
      <c r="T9" s="173" t="s">
        <v>288</v>
      </c>
      <c r="U9" s="2" t="s">
        <v>133</v>
      </c>
      <c r="V9" s="34">
        <v>246</v>
      </c>
      <c r="W9" s="34">
        <v>243</v>
      </c>
      <c r="X9" s="34">
        <v>203</v>
      </c>
      <c r="Y9" s="34">
        <v>162</v>
      </c>
      <c r="Z9" s="56">
        <v>122</v>
      </c>
    </row>
    <row r="10" spans="2:30" ht="18">
      <c r="B10" s="172"/>
      <c r="C10" t="s">
        <v>304</v>
      </c>
      <c r="D10" s="74"/>
      <c r="E10" s="74"/>
      <c r="F10" s="74"/>
      <c r="G10" s="74"/>
      <c r="H10" s="74"/>
      <c r="T10" s="173"/>
      <c r="U10" s="2" t="s">
        <v>312</v>
      </c>
      <c r="V10" s="34">
        <v>-557.25224308629799</v>
      </c>
      <c r="W10" s="34">
        <v>-551.20248456755371</v>
      </c>
      <c r="X10" s="34">
        <v>-459.51118675745255</v>
      </c>
      <c r="Y10" s="34">
        <v>-367.8198889473511</v>
      </c>
      <c r="Z10" s="56">
        <v>-276.12859113724988</v>
      </c>
    </row>
    <row r="11" spans="2:30">
      <c r="B11" s="172"/>
      <c r="C11" t="s">
        <v>303</v>
      </c>
      <c r="D11" s="74"/>
      <c r="E11" s="74"/>
      <c r="F11" s="74"/>
      <c r="G11" s="74"/>
      <c r="H11" s="74"/>
      <c r="T11" s="173" t="s">
        <v>289</v>
      </c>
      <c r="U11" s="2" t="s">
        <v>133</v>
      </c>
      <c r="V11" s="34">
        <v>212</v>
      </c>
      <c r="W11" s="34">
        <v>210</v>
      </c>
      <c r="X11" s="34">
        <v>170</v>
      </c>
      <c r="Y11" s="34">
        <v>130</v>
      </c>
      <c r="Z11" s="56">
        <v>91</v>
      </c>
    </row>
    <row r="12" spans="2:30" ht="18.75" thickBot="1">
      <c r="B12" s="172"/>
      <c r="C12" t="s">
        <v>300</v>
      </c>
      <c r="D12" s="74"/>
      <c r="E12" s="74"/>
      <c r="F12" s="74"/>
      <c r="G12" s="74"/>
      <c r="H12" s="74"/>
      <c r="T12" s="174"/>
      <c r="U12" s="40" t="s">
        <v>312</v>
      </c>
      <c r="V12" s="57">
        <v>236.93786416813609</v>
      </c>
      <c r="W12" s="57">
        <v>234.00963828885219</v>
      </c>
      <c r="X12" s="57">
        <v>189.62888650829763</v>
      </c>
      <c r="Y12" s="57">
        <v>145.24813472774304</v>
      </c>
      <c r="Z12" s="58">
        <v>100.23582157888336</v>
      </c>
    </row>
    <row r="13" spans="2:30" ht="18">
      <c r="B13" s="172"/>
      <c r="C13" t="s">
        <v>312</v>
      </c>
      <c r="D13" s="74"/>
      <c r="E13" s="74"/>
      <c r="F13" s="74"/>
      <c r="G13" s="74"/>
      <c r="H13" s="74"/>
    </row>
    <row r="14" spans="2:30">
      <c r="B14" s="172" t="s">
        <v>287</v>
      </c>
      <c r="C14" t="s">
        <v>133</v>
      </c>
      <c r="D14" s="74"/>
      <c r="E14" s="74"/>
      <c r="F14" s="74"/>
      <c r="G14" s="74"/>
      <c r="H14" s="74"/>
    </row>
    <row r="15" spans="2:30">
      <c r="B15" s="172"/>
      <c r="C15" t="s">
        <v>299</v>
      </c>
      <c r="D15" s="74"/>
      <c r="E15" s="74"/>
      <c r="F15" s="74"/>
      <c r="G15" s="74"/>
      <c r="H15" s="74"/>
    </row>
    <row r="16" spans="2:30">
      <c r="B16" s="172"/>
      <c r="C16" t="s">
        <v>304</v>
      </c>
      <c r="D16" s="74"/>
      <c r="E16" s="74"/>
      <c r="F16" s="74"/>
      <c r="G16" s="74"/>
      <c r="H16" s="74"/>
    </row>
    <row r="17" spans="2:8">
      <c r="B17" s="172"/>
      <c r="C17" t="s">
        <v>303</v>
      </c>
      <c r="D17" s="74"/>
      <c r="E17" s="74"/>
      <c r="F17" s="74"/>
      <c r="G17" s="74"/>
      <c r="H17" s="74"/>
    </row>
    <row r="18" spans="2:8">
      <c r="B18" s="172"/>
      <c r="C18" t="s">
        <v>300</v>
      </c>
      <c r="D18" s="74"/>
      <c r="E18" s="74"/>
      <c r="F18" s="74"/>
      <c r="G18" s="74"/>
      <c r="H18" s="74"/>
    </row>
    <row r="19" spans="2:8" ht="18">
      <c r="B19" s="172"/>
      <c r="C19" t="s">
        <v>312</v>
      </c>
      <c r="D19" s="74"/>
      <c r="E19" s="74"/>
      <c r="F19" s="74"/>
      <c r="G19" s="74"/>
      <c r="H19" s="74"/>
    </row>
    <row r="20" spans="2:8">
      <c r="B20" s="172" t="s">
        <v>288</v>
      </c>
      <c r="C20" t="s">
        <v>133</v>
      </c>
      <c r="D20" s="74"/>
      <c r="E20" s="74"/>
      <c r="F20" s="74"/>
      <c r="G20" s="74"/>
      <c r="H20" s="74"/>
    </row>
    <row r="21" spans="2:8">
      <c r="B21" s="172"/>
      <c r="C21" t="s">
        <v>299</v>
      </c>
      <c r="D21" s="74"/>
      <c r="E21" s="74"/>
      <c r="F21" s="74"/>
      <c r="G21" s="74"/>
      <c r="H21" s="74"/>
    </row>
    <row r="22" spans="2:8">
      <c r="B22" s="172"/>
      <c r="C22" t="s">
        <v>304</v>
      </c>
      <c r="D22" s="74"/>
      <c r="E22" s="74"/>
      <c r="F22" s="74"/>
      <c r="G22" s="74"/>
      <c r="H22" s="74"/>
    </row>
    <row r="23" spans="2:8">
      <c r="B23" s="172"/>
      <c r="C23" t="s">
        <v>303</v>
      </c>
      <c r="D23" s="74"/>
      <c r="E23" s="74"/>
      <c r="F23" s="74"/>
      <c r="G23" s="74"/>
      <c r="H23" s="74"/>
    </row>
    <row r="24" spans="2:8">
      <c r="B24" s="172"/>
      <c r="C24" t="s">
        <v>300</v>
      </c>
      <c r="D24" s="74"/>
      <c r="E24" s="74"/>
      <c r="F24" s="74"/>
      <c r="G24" s="74"/>
      <c r="H24" s="74"/>
    </row>
    <row r="25" spans="2:8" ht="18">
      <c r="B25" s="172"/>
      <c r="C25" t="s">
        <v>312</v>
      </c>
      <c r="D25" s="74"/>
      <c r="E25" s="74"/>
      <c r="F25" s="74"/>
      <c r="G25" s="74"/>
      <c r="H25" s="74"/>
    </row>
    <row r="26" spans="2:8">
      <c r="B26" s="172" t="s">
        <v>289</v>
      </c>
      <c r="C26" t="s">
        <v>133</v>
      </c>
      <c r="D26" s="74"/>
      <c r="E26" s="74"/>
      <c r="F26" s="74"/>
      <c r="G26" s="74"/>
      <c r="H26" s="74"/>
    </row>
    <row r="27" spans="2:8">
      <c r="B27" s="172"/>
      <c r="C27" t="s">
        <v>299</v>
      </c>
      <c r="D27" s="74"/>
      <c r="E27" s="74"/>
      <c r="F27" s="74"/>
      <c r="G27" s="74"/>
      <c r="H27" s="74"/>
    </row>
    <row r="28" spans="2:8">
      <c r="B28" s="172"/>
      <c r="C28" t="s">
        <v>304</v>
      </c>
      <c r="D28" s="74"/>
      <c r="E28" s="74"/>
      <c r="F28" s="74"/>
      <c r="G28" s="74"/>
      <c r="H28" s="74"/>
    </row>
    <row r="29" spans="2:8">
      <c r="B29" s="172"/>
      <c r="C29" t="s">
        <v>303</v>
      </c>
      <c r="D29" s="74"/>
      <c r="E29" s="74"/>
      <c r="F29" s="74"/>
      <c r="G29" s="74"/>
      <c r="H29" s="74"/>
    </row>
    <row r="30" spans="2:8">
      <c r="B30" s="172"/>
      <c r="C30" t="s">
        <v>300</v>
      </c>
      <c r="D30" s="74"/>
      <c r="E30" s="74"/>
      <c r="F30" s="74"/>
      <c r="G30" s="74"/>
      <c r="H30" s="74"/>
    </row>
    <row r="31" spans="2:8" ht="18">
      <c r="B31" s="172"/>
      <c r="C31" t="s">
        <v>312</v>
      </c>
      <c r="D31" s="74"/>
      <c r="E31" s="74"/>
      <c r="F31" s="74"/>
      <c r="G31" s="74"/>
      <c r="H31" s="74"/>
    </row>
  </sheetData>
  <mergeCells count="13">
    <mergeCell ref="B14:B19"/>
    <mergeCell ref="B20:B25"/>
    <mergeCell ref="B26:B31"/>
    <mergeCell ref="T3:T4"/>
    <mergeCell ref="T5:T6"/>
    <mergeCell ref="T7:T8"/>
    <mergeCell ref="T9:T10"/>
    <mergeCell ref="T11:T12"/>
    <mergeCell ref="S1:V1"/>
    <mergeCell ref="W1:Z1"/>
    <mergeCell ref="AA1:AD1"/>
    <mergeCell ref="B2:B7"/>
    <mergeCell ref="B8:B1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28"/>
  <sheetViews>
    <sheetView workbookViewId="0">
      <selection activeCell="I32" sqref="I32"/>
    </sheetView>
  </sheetViews>
  <sheetFormatPr defaultRowHeight="15"/>
  <cols>
    <col min="1" max="1" width="13.42578125" bestFit="1" customWidth="1"/>
    <col min="2" max="2" width="14.28515625" bestFit="1" customWidth="1"/>
    <col min="3" max="3" width="11" bestFit="1" customWidth="1"/>
    <col min="4" max="4" width="14.140625" bestFit="1" customWidth="1"/>
    <col min="5" max="5" width="14" bestFit="1" customWidth="1"/>
    <col min="6" max="6" width="12.42578125" bestFit="1" customWidth="1"/>
    <col min="7" max="7" width="11.5703125" bestFit="1" customWidth="1"/>
    <col min="8" max="8" width="8.42578125" bestFit="1" customWidth="1"/>
    <col min="9" max="9" width="11.42578125" bestFit="1" customWidth="1"/>
    <col min="10" max="10" width="11.28515625" bestFit="1" customWidth="1"/>
    <col min="11" max="11" width="9.85546875" bestFit="1" customWidth="1"/>
    <col min="13" max="16" width="9.140625" style="109"/>
    <col min="17" max="17" width="9.140625" style="111"/>
  </cols>
  <sheetData>
    <row r="1" spans="1:19">
      <c r="B1" t="s">
        <v>314</v>
      </c>
      <c r="C1" t="s">
        <v>315</v>
      </c>
      <c r="D1" t="s">
        <v>316</v>
      </c>
      <c r="E1" t="s">
        <v>317</v>
      </c>
      <c r="F1" t="s">
        <v>318</v>
      </c>
      <c r="G1" t="s">
        <v>357</v>
      </c>
      <c r="H1" t="s">
        <v>358</v>
      </c>
      <c r="I1" t="s">
        <v>359</v>
      </c>
      <c r="J1" t="s">
        <v>360</v>
      </c>
      <c r="K1" t="s">
        <v>361</v>
      </c>
      <c r="L1" t="s">
        <v>319</v>
      </c>
      <c r="M1" s="109" t="s">
        <v>314</v>
      </c>
      <c r="N1" s="109" t="s">
        <v>315</v>
      </c>
      <c r="O1" s="109" t="s">
        <v>316</v>
      </c>
      <c r="P1" s="109" t="s">
        <v>317</v>
      </c>
      <c r="Q1" s="111" t="s">
        <v>318</v>
      </c>
    </row>
    <row r="2" spans="1:19" ht="15.75" thickBot="1">
      <c r="A2" s="67">
        <v>2018</v>
      </c>
      <c r="B2" s="74">
        <v>495.5</v>
      </c>
      <c r="C2" s="74">
        <v>495.5</v>
      </c>
      <c r="D2" s="74">
        <v>474.07</v>
      </c>
      <c r="E2" s="74">
        <v>495.5</v>
      </c>
      <c r="F2" s="74">
        <v>475.42</v>
      </c>
      <c r="G2" s="74">
        <v>1.25</v>
      </c>
      <c r="H2" s="74">
        <v>1</v>
      </c>
      <c r="I2" s="74">
        <v>0.88</v>
      </c>
      <c r="J2" s="74">
        <v>9.0399999999999991</v>
      </c>
      <c r="K2" s="74">
        <v>3.54</v>
      </c>
      <c r="L2" s="74">
        <v>1.18</v>
      </c>
      <c r="M2" s="110">
        <v>495.5</v>
      </c>
      <c r="N2" s="110">
        <v>495.5</v>
      </c>
      <c r="O2" s="110">
        <f>401.75*L2</f>
        <v>474.065</v>
      </c>
      <c r="P2" s="110">
        <v>495.5</v>
      </c>
      <c r="Q2" s="112">
        <v>475.42</v>
      </c>
      <c r="S2" s="74"/>
    </row>
    <row r="3" spans="1:19" ht="15.75" thickBot="1">
      <c r="A3" s="68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10"/>
      <c r="N3" s="110"/>
      <c r="O3" s="110"/>
      <c r="P3" s="110"/>
      <c r="Q3" s="112"/>
    </row>
    <row r="4" spans="1:19" ht="15.75" thickBot="1">
      <c r="A4" s="67">
        <v>2017</v>
      </c>
      <c r="B4" s="74">
        <v>418.94</v>
      </c>
      <c r="C4" s="74">
        <v>417.03</v>
      </c>
      <c r="D4" s="74">
        <v>418</v>
      </c>
      <c r="E4" s="74">
        <v>417.58</v>
      </c>
      <c r="F4" s="74">
        <v>395</v>
      </c>
      <c r="G4" s="74">
        <v>1.25</v>
      </c>
      <c r="H4" s="74">
        <v>1</v>
      </c>
      <c r="I4" s="74">
        <v>0.88</v>
      </c>
      <c r="J4" s="74">
        <v>9.0399999999999991</v>
      </c>
      <c r="K4" s="74">
        <v>3.54</v>
      </c>
      <c r="L4" s="74">
        <v>1.1299999999999999</v>
      </c>
      <c r="M4" s="110">
        <v>408.33</v>
      </c>
      <c r="N4" s="110">
        <v>408.33</v>
      </c>
      <c r="O4" s="110">
        <f>367.5*L4</f>
        <v>415.27499999999998</v>
      </c>
      <c r="P4" s="110">
        <v>408.33</v>
      </c>
      <c r="Q4" s="112">
        <v>387.5</v>
      </c>
      <c r="S4" s="74"/>
    </row>
    <row r="5" spans="1:19" ht="15.75" thickBot="1">
      <c r="A5" s="68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10"/>
      <c r="N5" s="110"/>
      <c r="O5" s="110"/>
      <c r="P5" s="110"/>
      <c r="Q5" s="112"/>
    </row>
    <row r="6" spans="1:19" ht="15.75" thickBot="1">
      <c r="A6" s="67">
        <v>2016</v>
      </c>
      <c r="B6" s="74">
        <v>292.43</v>
      </c>
      <c r="C6" s="74">
        <v>288.45</v>
      </c>
      <c r="D6" s="74">
        <v>278</v>
      </c>
      <c r="E6" s="74">
        <v>304.17</v>
      </c>
      <c r="F6" s="74">
        <v>291</v>
      </c>
      <c r="G6" s="74">
        <v>1.25</v>
      </c>
      <c r="H6" s="74">
        <v>1</v>
      </c>
      <c r="I6" s="74">
        <v>0.9</v>
      </c>
      <c r="J6" s="74">
        <v>8.68</v>
      </c>
      <c r="K6" s="74">
        <v>3.47</v>
      </c>
      <c r="L6" s="74">
        <v>1.1100000000000001</v>
      </c>
      <c r="M6" s="110">
        <v>278.92</v>
      </c>
      <c r="N6" s="110">
        <v>278.92</v>
      </c>
      <c r="O6" s="110">
        <f>247.5*L6</f>
        <v>274.72500000000002</v>
      </c>
      <c r="P6" s="110">
        <v>278.92</v>
      </c>
      <c r="Q6" s="112">
        <v>280</v>
      </c>
      <c r="S6" s="74"/>
    </row>
    <row r="7" spans="1:19" ht="15.75" thickBot="1">
      <c r="A7" s="68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10"/>
      <c r="N7" s="110"/>
      <c r="O7" s="110"/>
      <c r="P7" s="110"/>
      <c r="Q7" s="112"/>
    </row>
    <row r="8" spans="1:19" ht="15.75" thickBot="1">
      <c r="A8" s="67">
        <v>2015</v>
      </c>
      <c r="B8" s="74">
        <v>427.41</v>
      </c>
      <c r="C8" s="74">
        <v>420.12</v>
      </c>
      <c r="D8" s="74">
        <v>383</v>
      </c>
      <c r="E8" s="74">
        <v>457.1</v>
      </c>
      <c r="F8" s="74">
        <v>362</v>
      </c>
      <c r="G8" s="74">
        <v>1.25</v>
      </c>
      <c r="H8" s="74">
        <v>1</v>
      </c>
      <c r="I8" s="74">
        <v>0.91</v>
      </c>
      <c r="J8" s="74">
        <v>8.33</v>
      </c>
      <c r="K8" s="74">
        <v>3.47</v>
      </c>
      <c r="L8" s="74">
        <v>1.1100000000000001</v>
      </c>
      <c r="M8" s="110">
        <v>405.75</v>
      </c>
      <c r="N8" s="110">
        <v>405.75</v>
      </c>
      <c r="O8" s="110">
        <f>342.25*L8</f>
        <v>379.89750000000004</v>
      </c>
      <c r="P8" s="110">
        <v>405.75</v>
      </c>
      <c r="Q8" s="112">
        <v>342.5</v>
      </c>
      <c r="S8" s="74"/>
    </row>
    <row r="9" spans="1:19" ht="15.75" thickBot="1">
      <c r="A9" s="68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110"/>
      <c r="N9" s="110"/>
      <c r="O9" s="110"/>
      <c r="P9" s="110"/>
      <c r="Q9" s="112"/>
    </row>
    <row r="10" spans="1:19" ht="15.75" thickBot="1">
      <c r="A10" s="67">
        <v>2014</v>
      </c>
      <c r="B10" s="74">
        <v>576.88</v>
      </c>
      <c r="C10" s="74">
        <v>569.44000000000005</v>
      </c>
      <c r="D10" s="74">
        <v>521.5</v>
      </c>
      <c r="E10" s="74">
        <v>623.20000000000005</v>
      </c>
      <c r="F10" s="74">
        <v>505.5</v>
      </c>
      <c r="G10" s="74">
        <v>1.23</v>
      </c>
      <c r="H10" s="74">
        <v>1</v>
      </c>
      <c r="I10" s="74">
        <v>0.91</v>
      </c>
      <c r="J10" s="74">
        <v>8.0500000000000007</v>
      </c>
      <c r="K10" s="74">
        <v>3.5</v>
      </c>
      <c r="L10" s="74">
        <v>1.33</v>
      </c>
      <c r="M10" s="110">
        <v>541.20000000000005</v>
      </c>
      <c r="N10" s="110">
        <v>541.20000000000005</v>
      </c>
      <c r="O10" s="110">
        <f>384.5*L10</f>
        <v>511.38500000000005</v>
      </c>
      <c r="P10" s="110">
        <v>541.20000000000005</v>
      </c>
      <c r="Q10" s="112">
        <v>472.1</v>
      </c>
      <c r="S10" s="74"/>
    </row>
    <row r="11" spans="1:19" ht="15.75" thickBot="1">
      <c r="A11" s="68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10"/>
      <c r="N11" s="110"/>
      <c r="O11" s="110"/>
      <c r="P11" s="110"/>
      <c r="Q11" s="112"/>
    </row>
    <row r="12" spans="1:19" ht="15.75" thickBot="1">
      <c r="A12" s="67">
        <v>2013</v>
      </c>
      <c r="B12" s="74">
        <v>585.16999999999996</v>
      </c>
      <c r="C12" s="74">
        <v>572.61</v>
      </c>
      <c r="D12" s="74">
        <v>536</v>
      </c>
      <c r="E12" s="74">
        <v>643.33000000000004</v>
      </c>
      <c r="F12" s="74">
        <v>512</v>
      </c>
      <c r="G12" s="74">
        <v>1.22</v>
      </c>
      <c r="H12" s="74">
        <v>1</v>
      </c>
      <c r="I12" s="74">
        <v>0.91</v>
      </c>
      <c r="J12" s="74">
        <v>7.88</v>
      </c>
      <c r="K12" s="74">
        <v>3.54</v>
      </c>
      <c r="L12" s="74">
        <v>1.33</v>
      </c>
      <c r="M12" s="110">
        <v>536.33000000000004</v>
      </c>
      <c r="N12" s="110">
        <v>536.33000000000004</v>
      </c>
      <c r="O12" s="110">
        <f>389.5*L12</f>
        <v>518.03500000000008</v>
      </c>
      <c r="P12" s="110">
        <v>536.33000000000004</v>
      </c>
      <c r="Q12" s="112">
        <v>466.7</v>
      </c>
      <c r="S12" s="74"/>
    </row>
    <row r="13" spans="1:19" ht="15.75" thickBot="1">
      <c r="A13" s="68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10"/>
      <c r="N13" s="110"/>
      <c r="O13" s="110"/>
      <c r="P13" s="110"/>
      <c r="Q13" s="112"/>
    </row>
    <row r="14" spans="1:19" ht="15.75" thickBot="1">
      <c r="A14" s="67">
        <v>2012</v>
      </c>
      <c r="B14" s="74">
        <v>498.02</v>
      </c>
      <c r="C14" s="74">
        <v>492.57</v>
      </c>
      <c r="D14" s="74">
        <v>461</v>
      </c>
      <c r="E14" s="74">
        <v>561.79</v>
      </c>
      <c r="F14" s="74">
        <v>497</v>
      </c>
      <c r="G14" s="74">
        <v>1.24</v>
      </c>
      <c r="H14" s="74">
        <v>1</v>
      </c>
      <c r="I14" s="74">
        <v>0.91</v>
      </c>
      <c r="J14" s="74">
        <v>7.86</v>
      </c>
      <c r="K14" s="74">
        <v>3.52</v>
      </c>
      <c r="L14" s="74">
        <v>1.29</v>
      </c>
      <c r="M14" s="110">
        <v>452</v>
      </c>
      <c r="N14" s="110">
        <v>452</v>
      </c>
      <c r="O14" s="110">
        <f>335*L14</f>
        <v>432.15000000000003</v>
      </c>
      <c r="P14" s="110">
        <v>452</v>
      </c>
      <c r="Q14" s="112">
        <v>441.7</v>
      </c>
      <c r="S14" s="74"/>
    </row>
    <row r="15" spans="1:19" ht="15.75" thickBot="1">
      <c r="A15" s="68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10"/>
      <c r="N15" s="110"/>
      <c r="O15" s="110"/>
      <c r="P15" s="110"/>
      <c r="Q15" s="112"/>
    </row>
    <row r="16" spans="1:19" ht="15.75" thickBot="1">
      <c r="A16" s="67">
        <v>2011</v>
      </c>
      <c r="B16" s="74">
        <v>493.56</v>
      </c>
      <c r="C16" s="74">
        <v>496.55</v>
      </c>
      <c r="D16" s="74">
        <v>476</v>
      </c>
      <c r="E16" s="74">
        <v>571.94000000000005</v>
      </c>
      <c r="F16" s="74">
        <v>515</v>
      </c>
      <c r="G16" s="74">
        <v>1.24</v>
      </c>
      <c r="H16" s="74">
        <v>1</v>
      </c>
      <c r="I16" s="74">
        <v>0.9</v>
      </c>
      <c r="J16" s="74">
        <v>7.67</v>
      </c>
      <c r="K16" s="74">
        <v>3.51</v>
      </c>
      <c r="L16" s="74">
        <v>1.39</v>
      </c>
      <c r="M16" s="110">
        <v>441.7</v>
      </c>
      <c r="N16" s="110">
        <v>441.7</v>
      </c>
      <c r="O16" s="110">
        <f>311.25*L16</f>
        <v>432.63749999999999</v>
      </c>
      <c r="P16" s="110">
        <v>441.7</v>
      </c>
      <c r="Q16" s="112">
        <v>440</v>
      </c>
      <c r="S16" s="74"/>
    </row>
    <row r="17" spans="1:19" ht="15.75" thickBot="1">
      <c r="A17" s="6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10"/>
      <c r="N17" s="110"/>
      <c r="O17" s="110"/>
      <c r="P17" s="110"/>
      <c r="Q17" s="112"/>
    </row>
    <row r="18" spans="1:19" ht="15.75" thickBot="1">
      <c r="A18" s="67">
        <v>2010</v>
      </c>
      <c r="B18" s="74">
        <v>428.52</v>
      </c>
      <c r="C18" s="74">
        <v>425.06</v>
      </c>
      <c r="D18" s="74">
        <v>376.5</v>
      </c>
      <c r="E18" s="74">
        <v>498.46</v>
      </c>
      <c r="F18" s="74">
        <v>431</v>
      </c>
      <c r="G18" s="74">
        <v>1.22</v>
      </c>
      <c r="H18" s="74">
        <v>1</v>
      </c>
      <c r="I18" s="74">
        <v>0.9</v>
      </c>
      <c r="J18" s="74">
        <v>7.68</v>
      </c>
      <c r="K18" s="74">
        <v>3.31</v>
      </c>
      <c r="L18" s="74">
        <v>1.33</v>
      </c>
      <c r="M18" s="110">
        <v>372</v>
      </c>
      <c r="N18" s="110">
        <v>372</v>
      </c>
      <c r="O18" s="110">
        <f>254.25*L18</f>
        <v>338.15250000000003</v>
      </c>
      <c r="P18" s="110">
        <v>372</v>
      </c>
      <c r="Q18" s="112">
        <v>352.1</v>
      </c>
      <c r="S18" s="74"/>
    </row>
    <row r="19" spans="1:19" ht="15.75" thickBot="1">
      <c r="A19" s="68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10"/>
      <c r="N19" s="110"/>
      <c r="O19" s="110"/>
      <c r="P19" s="110"/>
      <c r="Q19" s="112"/>
    </row>
    <row r="20" spans="1:19" ht="15.75" thickBot="1">
      <c r="A20" s="67">
        <v>2009</v>
      </c>
      <c r="B20" s="74">
        <v>299.11</v>
      </c>
      <c r="C20" s="74">
        <v>288.58</v>
      </c>
      <c r="D20" s="74">
        <v>266</v>
      </c>
      <c r="E20" s="74">
        <v>354.23</v>
      </c>
      <c r="F20" s="74">
        <v>315</v>
      </c>
      <c r="G20" s="74">
        <v>1.2</v>
      </c>
      <c r="H20" s="74">
        <v>1</v>
      </c>
      <c r="I20" s="74">
        <v>0.9</v>
      </c>
      <c r="J20" s="74">
        <v>7.43</v>
      </c>
      <c r="K20" s="74">
        <v>3.13</v>
      </c>
      <c r="L20" s="74">
        <v>1.39</v>
      </c>
      <c r="M20" s="110">
        <v>253.42</v>
      </c>
      <c r="N20" s="110">
        <v>253.42</v>
      </c>
      <c r="O20" s="110">
        <f>171.85*L20</f>
        <v>238.87149999999997</v>
      </c>
      <c r="P20" s="110">
        <v>253.42</v>
      </c>
      <c r="Q20" s="112">
        <v>252.5</v>
      </c>
      <c r="S20" s="74"/>
    </row>
    <row r="21" spans="1:19" ht="15.75" thickBot="1">
      <c r="A21" s="6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10"/>
      <c r="N21" s="110"/>
      <c r="O21" s="110"/>
      <c r="P21" s="110"/>
      <c r="Q21" s="112"/>
    </row>
    <row r="22" spans="1:19" ht="15.75" thickBot="1">
      <c r="A22" s="67">
        <v>2008</v>
      </c>
      <c r="B22" s="74">
        <v>650.98</v>
      </c>
      <c r="C22" s="74">
        <v>649.95000000000005</v>
      </c>
      <c r="D22" s="74">
        <v>600.1</v>
      </c>
      <c r="E22" s="74">
        <v>797.89</v>
      </c>
      <c r="F22" s="74">
        <v>616</v>
      </c>
      <c r="G22" s="74">
        <v>1.23</v>
      </c>
      <c r="H22" s="74">
        <v>1</v>
      </c>
      <c r="I22" s="74">
        <v>0.91</v>
      </c>
      <c r="J22" s="74">
        <v>7.47</v>
      </c>
      <c r="K22" s="74">
        <v>3.16</v>
      </c>
      <c r="L22" s="74">
        <v>1.47</v>
      </c>
      <c r="M22" s="110">
        <v>549.6</v>
      </c>
      <c r="N22" s="110">
        <v>549.6</v>
      </c>
      <c r="O22" s="110">
        <f>352.5*L22</f>
        <v>518.17499999999995</v>
      </c>
      <c r="P22" s="110">
        <v>549.6</v>
      </c>
      <c r="Q22" s="112">
        <v>488.75</v>
      </c>
      <c r="S22" s="74"/>
    </row>
    <row r="23" spans="1:19" ht="15.75" thickBot="1">
      <c r="A23" s="6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10"/>
      <c r="N23" s="110"/>
      <c r="O23" s="110"/>
      <c r="P23" s="110"/>
      <c r="Q23" s="112"/>
    </row>
    <row r="24" spans="1:19" ht="15.75" thickBot="1">
      <c r="A24" s="67">
        <v>2007</v>
      </c>
      <c r="B24" s="74">
        <v>572.41</v>
      </c>
      <c r="C24" s="74">
        <v>574.82000000000005</v>
      </c>
      <c r="D24" s="74">
        <v>520.1</v>
      </c>
      <c r="E24" s="74">
        <v>728.87</v>
      </c>
      <c r="F24" s="74">
        <v>581</v>
      </c>
      <c r="G24" s="74">
        <v>1.21</v>
      </c>
      <c r="H24" s="74">
        <v>1</v>
      </c>
      <c r="I24" s="74">
        <v>0.94</v>
      </c>
      <c r="J24" s="74">
        <v>7.37</v>
      </c>
      <c r="K24" s="74">
        <v>2.99</v>
      </c>
      <c r="L24" s="74">
        <v>1.37</v>
      </c>
      <c r="M24" s="110">
        <v>472.6</v>
      </c>
      <c r="N24" s="110">
        <v>472.6</v>
      </c>
      <c r="O24" s="110">
        <f>320*L24</f>
        <v>438.40000000000003</v>
      </c>
      <c r="P24" s="110">
        <v>472.6</v>
      </c>
      <c r="Q24" s="112">
        <v>432.5</v>
      </c>
      <c r="S24" s="74"/>
    </row>
    <row r="25" spans="1:19" ht="15.75" thickBot="1">
      <c r="A25" s="6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10"/>
      <c r="N25" s="110"/>
      <c r="O25" s="110"/>
      <c r="P25" s="110"/>
      <c r="Q25" s="112"/>
    </row>
    <row r="26" spans="1:19" ht="15.75" thickBot="1">
      <c r="A26" s="67">
        <v>2006</v>
      </c>
      <c r="B26" s="74">
        <v>514.76</v>
      </c>
      <c r="C26" s="74">
        <v>524.4</v>
      </c>
      <c r="D26" s="74">
        <v>456</v>
      </c>
      <c r="E26" s="74">
        <v>668.92</v>
      </c>
      <c r="F26" s="74">
        <v>528</v>
      </c>
      <c r="G26" s="74">
        <v>1.21</v>
      </c>
      <c r="H26" s="74">
        <v>1</v>
      </c>
      <c r="I26" s="74">
        <v>0.95</v>
      </c>
      <c r="J26" s="74">
        <v>7.16</v>
      </c>
      <c r="K26" s="74">
        <v>2.85</v>
      </c>
      <c r="L26" s="74">
        <v>1.26</v>
      </c>
      <c r="M26" s="110">
        <v>417.33</v>
      </c>
      <c r="N26" s="110">
        <v>417.33</v>
      </c>
      <c r="O26" s="110">
        <f>300.75*L26</f>
        <v>378.94499999999999</v>
      </c>
      <c r="P26" s="110">
        <v>417.33</v>
      </c>
      <c r="Q26" s="112">
        <v>382.1</v>
      </c>
      <c r="S26" s="74"/>
    </row>
    <row r="27" spans="1:19">
      <c r="L27" s="59" t="s">
        <v>349</v>
      </c>
      <c r="M27" s="113" t="s">
        <v>448</v>
      </c>
      <c r="N27" s="59" t="s">
        <v>452</v>
      </c>
      <c r="O27" s="113" t="s">
        <v>449</v>
      </c>
      <c r="P27" s="59" t="s">
        <v>450</v>
      </c>
      <c r="Q27" s="59" t="s">
        <v>451</v>
      </c>
    </row>
    <row r="28" spans="1:19">
      <c r="B28" s="74"/>
      <c r="C28" s="74"/>
      <c r="D28" s="74"/>
      <c r="E28" s="74"/>
      <c r="F28" s="74"/>
      <c r="L28" s="42" t="s">
        <v>344</v>
      </c>
    </row>
  </sheetData>
  <hyperlinks>
    <hyperlink ref="O27" r:id="rId1"/>
    <hyperlink ref="P27" r:id="rId2"/>
    <hyperlink ref="Q27" r:id="rId3"/>
    <hyperlink ref="N27" r:id="rId4"/>
    <hyperlink ref="M27" r:id="rId5"/>
    <hyperlink ref="L27" r:id="rId6"/>
  </hyperlinks>
  <pageMargins left="0.7" right="0.7" top="0.75" bottom="0.75" header="0.3" footer="0.3"/>
  <pageSetup orientation="portrait" verticalDpi="0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38"/>
  <sheetViews>
    <sheetView workbookViewId="0">
      <selection activeCell="L2" sqref="L2"/>
    </sheetView>
  </sheetViews>
  <sheetFormatPr defaultRowHeight="15"/>
  <cols>
    <col min="1" max="1" width="13.42578125" bestFit="1" customWidth="1"/>
    <col min="2" max="2" width="18.7109375" bestFit="1" customWidth="1"/>
    <col min="3" max="3" width="13" customWidth="1"/>
    <col min="18" max="22" width="9.140625" style="109"/>
  </cols>
  <sheetData>
    <row r="1" spans="1:23">
      <c r="B1" t="s">
        <v>320</v>
      </c>
      <c r="C1" t="s">
        <v>321</v>
      </c>
      <c r="D1" t="s">
        <v>326</v>
      </c>
      <c r="E1" t="s">
        <v>333</v>
      </c>
      <c r="F1" t="s">
        <v>327</v>
      </c>
      <c r="G1" t="s">
        <v>334</v>
      </c>
      <c r="H1" t="s">
        <v>362</v>
      </c>
      <c r="I1" t="s">
        <v>319</v>
      </c>
      <c r="J1" t="s">
        <v>337</v>
      </c>
      <c r="K1" t="s">
        <v>324</v>
      </c>
      <c r="L1" t="s">
        <v>339</v>
      </c>
      <c r="R1" s="109" t="s">
        <v>320</v>
      </c>
      <c r="S1" s="109" t="s">
        <v>321</v>
      </c>
      <c r="T1" s="109" t="s">
        <v>326</v>
      </c>
      <c r="U1" s="109" t="s">
        <v>333</v>
      </c>
      <c r="V1" s="109" t="s">
        <v>327</v>
      </c>
    </row>
    <row r="2" spans="1:23" ht="15.75" thickBot="1">
      <c r="A2" s="67">
        <v>2018</v>
      </c>
      <c r="B2" s="74">
        <v>89.55</v>
      </c>
      <c r="C2" s="74">
        <v>69.3</v>
      </c>
      <c r="D2" s="74">
        <v>75.37</v>
      </c>
      <c r="E2" s="74">
        <v>75.760000000000005</v>
      </c>
      <c r="F2" s="74">
        <v>79.61</v>
      </c>
      <c r="G2" s="74">
        <v>0.77</v>
      </c>
      <c r="H2" s="74">
        <v>1</v>
      </c>
      <c r="I2" s="74">
        <v>1.18</v>
      </c>
      <c r="J2" s="74">
        <v>5.2073000000000001E-2</v>
      </c>
      <c r="K2" s="74">
        <v>0.15131700000000001</v>
      </c>
      <c r="L2" s="76" t="s">
        <v>323</v>
      </c>
      <c r="M2" s="74"/>
      <c r="N2" s="74"/>
      <c r="O2" s="74"/>
      <c r="P2" s="74"/>
      <c r="Q2" s="74"/>
      <c r="R2" s="114">
        <f>(24.5+91.80083)*G2</f>
        <v>89.551639100000003</v>
      </c>
      <c r="S2" s="110">
        <v>69.3</v>
      </c>
      <c r="T2" s="117">
        <v>75.37</v>
      </c>
      <c r="U2" s="117">
        <v>75.760000000000005</v>
      </c>
      <c r="V2" s="110">
        <f>526.1*K2</f>
        <v>79.607873700000013</v>
      </c>
      <c r="W2" s="74"/>
    </row>
    <row r="3" spans="1:23" ht="15.75" thickBot="1">
      <c r="A3" s="68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14"/>
      <c r="S3" s="110"/>
      <c r="T3" s="110"/>
      <c r="U3" s="110"/>
      <c r="V3" s="110"/>
      <c r="W3" s="74"/>
    </row>
    <row r="4" spans="1:23" ht="15.75" thickBot="1">
      <c r="A4" s="67">
        <v>2017</v>
      </c>
      <c r="B4" s="74">
        <v>91.68</v>
      </c>
      <c r="C4" s="74">
        <v>70.48</v>
      </c>
      <c r="D4" s="74">
        <v>76</v>
      </c>
      <c r="E4" s="74">
        <v>77.48</v>
      </c>
      <c r="F4" s="74">
        <v>89</v>
      </c>
      <c r="G4" s="74">
        <v>0.77</v>
      </c>
      <c r="H4" s="74">
        <v>1</v>
      </c>
      <c r="I4" s="74">
        <v>1.1299999999999999</v>
      </c>
      <c r="J4" s="74">
        <v>5.3032999999999997E-2</v>
      </c>
      <c r="K4" s="74">
        <v>0.14801</v>
      </c>
      <c r="L4" s="76" t="s">
        <v>340</v>
      </c>
      <c r="M4" s="74"/>
      <c r="N4" s="74"/>
      <c r="O4" s="74"/>
      <c r="P4" s="74"/>
      <c r="Q4" s="74"/>
      <c r="R4" s="114">
        <f>(15.5+100.5508)*G4</f>
        <v>89.359116</v>
      </c>
      <c r="S4" s="110">
        <v>68.8</v>
      </c>
      <c r="T4" s="110">
        <f>6.67*I4*10</f>
        <v>75.370999999999981</v>
      </c>
      <c r="U4" s="110">
        <f>142.8635*10*J4</f>
        <v>75.764799954999987</v>
      </c>
      <c r="V4" s="118">
        <f>597.85*K4</f>
        <v>88.487778500000005</v>
      </c>
      <c r="W4" s="74"/>
    </row>
    <row r="5" spans="1:23" ht="15.75" thickBot="1">
      <c r="A5" s="68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14"/>
      <c r="S5" s="110"/>
      <c r="T5" s="110"/>
      <c r="U5" s="110"/>
      <c r="V5" s="110"/>
      <c r="W5" s="74"/>
    </row>
    <row r="6" spans="1:23" ht="15.75" thickBot="1">
      <c r="A6" s="67">
        <v>2016</v>
      </c>
      <c r="B6" s="74">
        <v>90.95</v>
      </c>
      <c r="C6" s="74">
        <v>70.73</v>
      </c>
      <c r="D6" s="74">
        <v>77</v>
      </c>
      <c r="E6" s="74">
        <v>57.67</v>
      </c>
      <c r="F6" s="74">
        <v>101</v>
      </c>
      <c r="G6" s="74">
        <v>0.76</v>
      </c>
      <c r="H6" s="74">
        <v>1</v>
      </c>
      <c r="I6" s="74">
        <v>1.1100000000000001</v>
      </c>
      <c r="J6" s="74">
        <v>5.3655000000000001E-2</v>
      </c>
      <c r="K6" s="74">
        <v>0.150561</v>
      </c>
      <c r="L6" s="76" t="s">
        <v>328</v>
      </c>
      <c r="M6" s="74"/>
      <c r="N6" s="74"/>
      <c r="O6" s="74"/>
      <c r="P6" s="74"/>
      <c r="Q6" s="74"/>
      <c r="R6" s="114">
        <f>(16.6+97.54083)*G6</f>
        <v>86.74703079999999</v>
      </c>
      <c r="S6" s="110">
        <v>67.599999999999994</v>
      </c>
      <c r="T6" s="110">
        <f>6.9*I6*10</f>
        <v>76.59</v>
      </c>
      <c r="U6" s="110">
        <f>98.5503*10*J6</f>
        <v>52.877163464999995</v>
      </c>
      <c r="V6" s="110">
        <f>645.65*K6</f>
        <v>97.209709649999994</v>
      </c>
      <c r="W6" s="74"/>
    </row>
    <row r="7" spans="1:23" ht="15.75" thickBot="1">
      <c r="A7" s="68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114"/>
      <c r="S7" s="110"/>
      <c r="T7" s="110"/>
      <c r="U7" s="110"/>
      <c r="V7" s="110"/>
      <c r="W7" s="74"/>
    </row>
    <row r="8" spans="1:23" ht="15.75" thickBot="1">
      <c r="A8" s="67">
        <v>2015</v>
      </c>
      <c r="B8" s="74">
        <v>84.45</v>
      </c>
      <c r="C8" s="74">
        <v>73.209999999999994</v>
      </c>
      <c r="D8" s="74">
        <v>79</v>
      </c>
      <c r="E8" s="74">
        <v>72.38</v>
      </c>
      <c r="F8" s="74">
        <v>108</v>
      </c>
      <c r="G8" s="74">
        <v>0.78</v>
      </c>
      <c r="H8" s="74">
        <v>1</v>
      </c>
      <c r="I8" s="74">
        <v>1.1100000000000001</v>
      </c>
      <c r="J8" s="123">
        <v>0.06</v>
      </c>
      <c r="K8" s="74">
        <v>0.15912999999999999</v>
      </c>
      <c r="L8" s="76" t="s">
        <v>329</v>
      </c>
      <c r="M8" s="74"/>
      <c r="N8" s="74"/>
      <c r="O8" s="74"/>
      <c r="P8" s="74"/>
      <c r="Q8" s="74"/>
      <c r="R8" s="114">
        <f>(23.6+79.18083)*G8</f>
        <v>80.169047400000011</v>
      </c>
      <c r="S8" s="110">
        <v>69.099999999999994</v>
      </c>
      <c r="T8" s="110">
        <f>7.07*I8*10</f>
        <v>78.477000000000004</v>
      </c>
      <c r="U8" s="110">
        <f>107.0885*10*J8</f>
        <v>64.253100000000003</v>
      </c>
      <c r="V8" s="110">
        <f>643.97*K8</f>
        <v>102.4749461</v>
      </c>
      <c r="W8" s="74"/>
    </row>
    <row r="9" spans="1:23" ht="15.75" thickBot="1">
      <c r="A9" s="68"/>
      <c r="B9" s="74"/>
      <c r="C9" s="74"/>
      <c r="D9" s="74"/>
      <c r="E9" s="74"/>
      <c r="F9" s="74"/>
      <c r="G9" s="74"/>
      <c r="H9" s="74"/>
      <c r="I9" s="74"/>
      <c r="J9" s="123"/>
      <c r="K9" s="74"/>
      <c r="L9" s="74"/>
      <c r="M9" s="74"/>
      <c r="N9" s="74"/>
      <c r="O9" s="74"/>
      <c r="P9" s="74"/>
      <c r="Q9" s="74"/>
      <c r="R9" s="114"/>
      <c r="S9" s="110"/>
      <c r="T9" s="110"/>
      <c r="U9" s="110"/>
      <c r="V9" s="110"/>
      <c r="W9" s="74"/>
    </row>
    <row r="10" spans="1:23" ht="15.75" thickBot="1">
      <c r="A10" s="67">
        <v>2014</v>
      </c>
      <c r="B10" s="74">
        <v>88</v>
      </c>
      <c r="C10" s="74">
        <v>75.31</v>
      </c>
      <c r="D10" s="74">
        <v>98.5</v>
      </c>
      <c r="E10" s="74">
        <v>112.17</v>
      </c>
      <c r="F10" s="74">
        <v>114</v>
      </c>
      <c r="G10" s="74">
        <v>0.91</v>
      </c>
      <c r="H10" s="74">
        <v>1</v>
      </c>
      <c r="I10" s="74">
        <v>1.33</v>
      </c>
      <c r="J10" s="123">
        <v>7.0000000000000007E-2</v>
      </c>
      <c r="K10" s="74">
        <v>0.16232099999999999</v>
      </c>
      <c r="L10" s="76" t="s">
        <v>330</v>
      </c>
      <c r="M10" s="74"/>
      <c r="N10" s="74"/>
      <c r="O10" s="74"/>
      <c r="P10" s="74"/>
      <c r="Q10" s="74"/>
      <c r="R10" s="114">
        <f>(36+54.73545)*G10</f>
        <v>82.569259500000001</v>
      </c>
      <c r="S10" s="110">
        <v>71</v>
      </c>
      <c r="T10" s="110">
        <f>7.28*I10*10</f>
        <v>96.824000000000012</v>
      </c>
      <c r="U10" s="110">
        <f>139.1544*10*J10</f>
        <v>97.408080000000012</v>
      </c>
      <c r="V10" s="118">
        <f>655.86*K10</f>
        <v>106.45985105999999</v>
      </c>
      <c r="W10" s="74"/>
    </row>
    <row r="11" spans="1:23" ht="15.75" thickBot="1">
      <c r="A11" s="68"/>
      <c r="B11" s="74"/>
      <c r="C11" s="74"/>
      <c r="D11" s="74"/>
      <c r="E11" s="74"/>
      <c r="F11" s="74"/>
      <c r="G11" s="74"/>
      <c r="H11" s="74"/>
      <c r="I11" s="74"/>
      <c r="J11" s="123"/>
      <c r="K11" s="74"/>
      <c r="L11" s="74"/>
      <c r="M11" s="74"/>
      <c r="N11" s="74"/>
      <c r="O11" s="74"/>
      <c r="P11" s="74"/>
      <c r="Q11" s="74"/>
      <c r="R11" s="114"/>
      <c r="S11" s="110"/>
      <c r="T11" s="110"/>
      <c r="U11" s="110"/>
      <c r="V11" s="110"/>
      <c r="W11" s="74"/>
    </row>
    <row r="12" spans="1:23" ht="15.75" thickBot="1">
      <c r="A12" s="67">
        <v>2013</v>
      </c>
      <c r="B12" s="74">
        <v>91.21</v>
      </c>
      <c r="C12" s="74">
        <v>74.27</v>
      </c>
      <c r="D12" s="74">
        <v>103</v>
      </c>
      <c r="E12" s="74">
        <v>132.33000000000001</v>
      </c>
      <c r="F12" s="74">
        <v>116.5</v>
      </c>
      <c r="G12" s="74">
        <v>0.97</v>
      </c>
      <c r="H12" s="74">
        <v>1</v>
      </c>
      <c r="I12" s="74">
        <v>1.33</v>
      </c>
      <c r="J12" s="123">
        <v>7.8409999999999994E-2</v>
      </c>
      <c r="K12" s="74">
        <v>0.162665</v>
      </c>
      <c r="L12" s="76" t="s">
        <v>330</v>
      </c>
      <c r="M12" s="74"/>
      <c r="N12" s="74"/>
      <c r="O12" s="74"/>
      <c r="P12" s="74"/>
      <c r="Q12" s="74"/>
      <c r="R12" s="114">
        <f>(26.5+59.68667)*G12</f>
        <v>83.601069899999985</v>
      </c>
      <c r="S12" s="110">
        <v>68.900000000000006</v>
      </c>
      <c r="T12" s="110">
        <f>7.49*I12*10</f>
        <v>99.617000000000004</v>
      </c>
      <c r="U12" s="110">
        <f>140.69*10*J12</f>
        <v>110.315029</v>
      </c>
      <c r="V12" s="110">
        <f>652.47*K12</f>
        <v>106.13403255</v>
      </c>
      <c r="W12" s="74"/>
    </row>
    <row r="13" spans="1:23" ht="15.75" thickBot="1">
      <c r="A13" s="68"/>
      <c r="B13" s="74"/>
      <c r="C13" s="74"/>
      <c r="D13" s="74"/>
      <c r="E13" s="74"/>
      <c r="F13" s="74"/>
      <c r="G13" s="74"/>
      <c r="H13" s="74"/>
      <c r="I13" s="74"/>
      <c r="J13" s="123"/>
      <c r="K13" s="74"/>
      <c r="L13" s="74"/>
      <c r="M13" s="74"/>
      <c r="N13" s="74"/>
      <c r="O13" s="74"/>
      <c r="P13" s="74"/>
      <c r="Q13" s="74"/>
      <c r="R13" s="114"/>
      <c r="S13" s="110"/>
      <c r="T13" s="110"/>
      <c r="U13" s="110"/>
      <c r="V13" s="110"/>
      <c r="W13" s="74"/>
    </row>
    <row r="14" spans="1:23" ht="15.75" thickBot="1">
      <c r="A14" s="67">
        <v>2012</v>
      </c>
      <c r="B14" s="74">
        <v>81.36</v>
      </c>
      <c r="C14" s="74">
        <v>72.95</v>
      </c>
      <c r="D14" s="74">
        <v>103</v>
      </c>
      <c r="E14" s="74">
        <v>121.36</v>
      </c>
      <c r="F14" s="74">
        <v>97.9</v>
      </c>
      <c r="G14" s="74">
        <v>1</v>
      </c>
      <c r="H14" s="74">
        <v>1</v>
      </c>
      <c r="I14" s="74">
        <v>1.29</v>
      </c>
      <c r="J14" s="123">
        <v>7.6071E-2</v>
      </c>
      <c r="K14" s="74">
        <v>0.158503</v>
      </c>
      <c r="L14" s="59" t="s">
        <v>438</v>
      </c>
      <c r="M14" s="74" t="s">
        <v>440</v>
      </c>
      <c r="N14" s="74"/>
      <c r="O14" s="74"/>
      <c r="P14" s="74"/>
      <c r="Q14" s="74"/>
      <c r="R14" s="114">
        <f>(24.1+49.74083)*G14</f>
        <v>73.840830000000011</v>
      </c>
      <c r="S14" s="110">
        <v>66.7</v>
      </c>
      <c r="T14" s="110">
        <f>7.5*I14*10</f>
        <v>96.75</v>
      </c>
      <c r="U14" s="110">
        <f>128.36*10*J14</f>
        <v>97.644735600000004</v>
      </c>
      <c r="V14" s="110">
        <v>87</v>
      </c>
      <c r="W14" s="74"/>
    </row>
    <row r="15" spans="1:23" ht="15.75" thickBot="1">
      <c r="A15" s="68"/>
      <c r="B15" s="74"/>
      <c r="C15" s="74"/>
      <c r="D15" s="74"/>
      <c r="E15" s="74"/>
      <c r="F15" s="74"/>
      <c r="G15" s="74"/>
      <c r="H15" s="74"/>
      <c r="I15" s="74"/>
      <c r="J15" s="123"/>
      <c r="K15" s="74"/>
      <c r="L15" s="74"/>
      <c r="M15" s="74"/>
      <c r="N15" s="74"/>
      <c r="O15" s="74"/>
      <c r="P15" s="74"/>
      <c r="Q15" s="74"/>
      <c r="R15" s="114"/>
      <c r="S15" s="110"/>
      <c r="T15" s="110"/>
      <c r="U15" s="110"/>
      <c r="V15" s="110"/>
      <c r="W15" s="74"/>
    </row>
    <row r="16" spans="1:23" ht="15.75" thickBot="1">
      <c r="A16" s="67">
        <v>2011</v>
      </c>
      <c r="B16" s="74">
        <v>81.239999999999995</v>
      </c>
      <c r="C16" s="74">
        <v>76.13</v>
      </c>
      <c r="D16" s="74">
        <v>115</v>
      </c>
      <c r="E16" s="74">
        <v>112.5</v>
      </c>
      <c r="F16" s="74">
        <v>98</v>
      </c>
      <c r="G16" s="74">
        <v>1.01</v>
      </c>
      <c r="H16" s="74">
        <v>1</v>
      </c>
      <c r="I16" s="74">
        <v>1.39</v>
      </c>
      <c r="J16" s="123">
        <v>7.0000000000000007E-2</v>
      </c>
      <c r="K16" s="74">
        <v>0.15476999999999999</v>
      </c>
      <c r="L16" s="59" t="s">
        <v>438</v>
      </c>
      <c r="M16" s="74" t="s">
        <v>439</v>
      </c>
      <c r="N16" s="74"/>
      <c r="O16" s="74"/>
      <c r="P16" s="74"/>
      <c r="Q16" s="74"/>
      <c r="R16" s="114">
        <f>(31.5+40.48417)*G16</f>
        <v>72.704011700000009</v>
      </c>
      <c r="S16" s="110">
        <v>68.2</v>
      </c>
      <c r="T16" s="110">
        <f>7.53*I16*10</f>
        <v>104.667</v>
      </c>
      <c r="U16" s="110">
        <f>124.11*10*J16</f>
        <v>86.876999999999995</v>
      </c>
      <c r="V16" s="110">
        <v>84</v>
      </c>
      <c r="W16" s="74"/>
    </row>
    <row r="17" spans="1:23" ht="15.75" thickBot="1">
      <c r="A17" s="68"/>
      <c r="B17" s="74"/>
      <c r="C17" s="74"/>
      <c r="D17" s="74"/>
      <c r="E17" s="74"/>
      <c r="F17" s="74"/>
      <c r="G17" s="74"/>
      <c r="H17" s="74"/>
      <c r="I17" s="74"/>
      <c r="J17" s="123"/>
      <c r="K17" s="74"/>
      <c r="L17" s="74"/>
      <c r="M17" s="74"/>
      <c r="N17" s="74"/>
      <c r="O17" s="74"/>
      <c r="P17" s="74"/>
      <c r="Q17" s="74"/>
      <c r="R17" s="114"/>
      <c r="S17" s="110"/>
      <c r="T17" s="110"/>
      <c r="U17" s="110"/>
      <c r="V17" s="110"/>
      <c r="W17" s="74"/>
    </row>
    <row r="18" spans="1:23" ht="15.75" thickBot="1">
      <c r="A18" s="67">
        <v>2010</v>
      </c>
      <c r="B18" s="74">
        <v>73.22</v>
      </c>
      <c r="C18" s="74">
        <v>77.959999999999994</v>
      </c>
      <c r="D18" s="74">
        <v>101.5</v>
      </c>
      <c r="E18" s="74">
        <v>115.52</v>
      </c>
      <c r="F18" s="74">
        <v>111.4</v>
      </c>
      <c r="G18" s="74">
        <v>0.97</v>
      </c>
      <c r="H18" s="74">
        <v>1</v>
      </c>
      <c r="I18" s="74">
        <v>1.33</v>
      </c>
      <c r="J18" s="123">
        <v>7.9177999999999998E-2</v>
      </c>
      <c r="K18" s="74">
        <v>0.14777499999999999</v>
      </c>
      <c r="L18" s="76" t="s">
        <v>331</v>
      </c>
      <c r="M18" s="74"/>
      <c r="N18" s="74"/>
      <c r="O18" s="74"/>
      <c r="P18" s="74"/>
      <c r="Q18" s="74"/>
      <c r="R18" s="114">
        <f>(37.9+27.63)*G18</f>
        <v>63.564099999999996</v>
      </c>
      <c r="S18" s="110">
        <v>67.7</v>
      </c>
      <c r="T18" s="110">
        <f>6.86*I18*10</f>
        <v>91.238000000000014</v>
      </c>
      <c r="U18" s="110">
        <f>108.88*10*J18</f>
        <v>86.209006399999993</v>
      </c>
      <c r="V18" s="110">
        <f>617.72*K18</f>
        <v>91.283573000000004</v>
      </c>
      <c r="W18" s="74"/>
    </row>
    <row r="19" spans="1:23" ht="15.75" thickBot="1">
      <c r="A19" s="68"/>
      <c r="B19" s="74"/>
      <c r="C19" s="74"/>
      <c r="D19" s="74"/>
      <c r="E19" s="74"/>
      <c r="F19" s="74"/>
      <c r="G19" s="74"/>
      <c r="H19" s="74"/>
      <c r="I19" s="74"/>
      <c r="J19" s="123"/>
      <c r="K19" s="74"/>
      <c r="L19" s="74"/>
      <c r="M19" s="74"/>
      <c r="N19" s="74"/>
      <c r="O19" s="74"/>
      <c r="P19" s="74"/>
      <c r="Q19" s="74"/>
      <c r="R19" s="114"/>
      <c r="S19" s="110"/>
      <c r="T19" s="110"/>
      <c r="U19" s="110"/>
      <c r="V19" s="110"/>
      <c r="W19" s="74"/>
    </row>
    <row r="20" spans="1:23" ht="15.75" thickBot="1">
      <c r="A20" s="67">
        <v>2009</v>
      </c>
      <c r="B20" s="74">
        <v>65.22</v>
      </c>
      <c r="C20" s="74">
        <v>79.94</v>
      </c>
      <c r="D20" s="74">
        <v>106</v>
      </c>
      <c r="E20" s="74">
        <v>96.56</v>
      </c>
      <c r="F20" s="74">
        <v>101</v>
      </c>
      <c r="G20" s="74">
        <v>0.88</v>
      </c>
      <c r="H20" s="74">
        <v>1</v>
      </c>
      <c r="I20" s="74">
        <v>1.39</v>
      </c>
      <c r="J20" s="123">
        <v>7.4195999999999998E-2</v>
      </c>
      <c r="K20" s="74">
        <v>0.146397</v>
      </c>
      <c r="L20" s="76" t="s">
        <v>332</v>
      </c>
      <c r="M20" s="74"/>
      <c r="N20" s="74"/>
      <c r="O20" s="74"/>
      <c r="P20" s="74"/>
      <c r="Q20" s="74"/>
      <c r="R20" s="114">
        <f>(31.6+31.19167)*G20</f>
        <v>55.256669599999995</v>
      </c>
      <c r="S20" s="110">
        <v>68.3</v>
      </c>
      <c r="T20" s="110">
        <f>6.86*I20*10</f>
        <v>95.353999999999985</v>
      </c>
      <c r="U20" s="110">
        <f>93.1*10*J20</f>
        <v>69.076476</v>
      </c>
      <c r="V20" s="110">
        <f>555.32*K20</f>
        <v>81.29718204000001</v>
      </c>
      <c r="W20" s="74"/>
    </row>
    <row r="21" spans="1:23" ht="15.75" thickBot="1">
      <c r="A21" s="68"/>
      <c r="B21" s="74"/>
      <c r="C21" s="74"/>
      <c r="D21" s="74"/>
      <c r="E21" s="74"/>
      <c r="F21" s="74"/>
      <c r="G21" s="74"/>
      <c r="H21" s="74"/>
      <c r="I21" s="74"/>
      <c r="J21" s="123"/>
      <c r="K21" s="74"/>
      <c r="L21" s="74"/>
      <c r="M21" s="74"/>
      <c r="N21" s="74"/>
      <c r="O21" s="74"/>
      <c r="P21" s="74"/>
      <c r="Q21" s="74"/>
      <c r="R21" s="114"/>
      <c r="S21" s="110"/>
      <c r="T21" s="110"/>
      <c r="U21" s="110"/>
      <c r="V21" s="110"/>
      <c r="W21" s="74"/>
    </row>
    <row r="22" spans="1:23" ht="15.75" thickBot="1">
      <c r="A22" s="67">
        <v>2008</v>
      </c>
      <c r="B22" s="74">
        <v>64.41</v>
      </c>
      <c r="C22" s="74">
        <v>81.17</v>
      </c>
      <c r="D22" s="74">
        <v>112</v>
      </c>
      <c r="E22" s="74">
        <v>134.09</v>
      </c>
      <c r="F22" s="74">
        <v>97</v>
      </c>
      <c r="G22" s="74">
        <v>0.94</v>
      </c>
      <c r="H22" s="74">
        <v>1</v>
      </c>
      <c r="I22" s="74">
        <v>1.47</v>
      </c>
      <c r="J22" s="123">
        <v>0.08</v>
      </c>
      <c r="K22" s="74">
        <v>0.14397299999999999</v>
      </c>
      <c r="L22" s="76" t="s">
        <v>342</v>
      </c>
      <c r="M22" s="74"/>
      <c r="N22" s="74"/>
      <c r="O22" s="74"/>
      <c r="P22" s="74"/>
      <c r="Q22" s="74"/>
      <c r="R22" s="114">
        <f>(51.7+6.150833)*G22</f>
        <v>54.379783019999998</v>
      </c>
      <c r="S22" s="110">
        <v>69.599999999999994</v>
      </c>
      <c r="T22" s="110">
        <f>6.57*10*I22</f>
        <v>96.579000000000008</v>
      </c>
      <c r="U22" s="110">
        <f>115.45*10*J22</f>
        <v>92.36</v>
      </c>
      <c r="V22" s="118">
        <f>535.6*K22</f>
        <v>77.111938800000004</v>
      </c>
      <c r="W22" s="74"/>
    </row>
    <row r="23" spans="1:23" ht="15.75" thickBot="1">
      <c r="A23" s="68"/>
      <c r="B23" s="74"/>
      <c r="C23" s="74"/>
      <c r="D23" s="74"/>
      <c r="E23" s="74"/>
      <c r="F23" s="74"/>
      <c r="G23" s="74"/>
      <c r="H23" s="74"/>
      <c r="I23" s="74"/>
      <c r="J23" s="123"/>
      <c r="K23" s="74"/>
      <c r="L23" s="74"/>
      <c r="M23" s="74"/>
      <c r="N23" s="74"/>
      <c r="O23" s="74"/>
      <c r="P23" s="74"/>
      <c r="Q23" s="74"/>
      <c r="R23" s="114"/>
      <c r="S23" s="110"/>
      <c r="T23" s="110"/>
      <c r="U23" s="110"/>
      <c r="V23" s="110"/>
      <c r="W23" s="74"/>
    </row>
    <row r="24" spans="1:23" ht="15.75" thickBot="1">
      <c r="A24" s="67">
        <v>2007</v>
      </c>
      <c r="B24" s="74">
        <v>62.07</v>
      </c>
      <c r="C24" s="74">
        <v>77.39</v>
      </c>
      <c r="D24" s="74">
        <v>91.8</v>
      </c>
      <c r="E24" s="74">
        <v>120.6</v>
      </c>
      <c r="F24" s="74">
        <v>91</v>
      </c>
      <c r="G24" s="74">
        <v>0.94</v>
      </c>
      <c r="H24" s="74">
        <v>1</v>
      </c>
      <c r="I24" s="74">
        <v>1.37</v>
      </c>
      <c r="J24" s="123">
        <v>9.1496999999999995E-2</v>
      </c>
      <c r="K24" s="74">
        <v>0.13150800000000001</v>
      </c>
      <c r="L24" s="76" t="s">
        <v>341</v>
      </c>
      <c r="M24" s="74"/>
      <c r="N24" s="74"/>
      <c r="O24" s="74"/>
      <c r="P24" s="74"/>
      <c r="Q24" s="74"/>
      <c r="R24" s="114">
        <f>(50.5+4.025833)*G24</f>
        <v>51.254283019999995</v>
      </c>
      <c r="S24" s="110">
        <v>63.9</v>
      </c>
      <c r="T24" s="110">
        <f>5.65*10*I24</f>
        <v>77.405000000000001</v>
      </c>
      <c r="U24" s="110">
        <f>85.47*10*J24</f>
        <v>78.202485899999999</v>
      </c>
      <c r="V24" s="118">
        <f>514.18*K24</f>
        <v>67.618783440000001</v>
      </c>
      <c r="W24" s="74"/>
    </row>
    <row r="25" spans="1:23" ht="15.75" thickBot="1">
      <c r="A25" s="68"/>
      <c r="B25" s="74"/>
      <c r="C25" s="74"/>
      <c r="D25" s="74"/>
      <c r="E25" s="74"/>
      <c r="F25" s="74"/>
      <c r="G25" s="74"/>
      <c r="H25" s="74"/>
      <c r="I25" s="74"/>
      <c r="J25" s="123"/>
      <c r="K25" s="74"/>
      <c r="L25" s="74"/>
      <c r="M25" s="74"/>
      <c r="N25" s="74"/>
      <c r="O25" s="74"/>
      <c r="P25" s="74"/>
      <c r="Q25" s="74"/>
      <c r="R25" s="114"/>
      <c r="S25" s="110"/>
      <c r="T25" s="110"/>
      <c r="U25" s="110"/>
      <c r="V25" s="110"/>
      <c r="W25" s="74"/>
    </row>
    <row r="26" spans="1:23" ht="15.75" thickBot="1">
      <c r="A26" s="67">
        <v>2006</v>
      </c>
      <c r="B26" s="74">
        <v>58</v>
      </c>
      <c r="C26" s="74">
        <v>76.73</v>
      </c>
      <c r="D26" s="74">
        <v>88</v>
      </c>
      <c r="E26" s="74">
        <v>125.82</v>
      </c>
      <c r="F26" s="74">
        <v>110.5</v>
      </c>
      <c r="G26" s="74">
        <v>0.88</v>
      </c>
      <c r="H26" s="74">
        <v>1</v>
      </c>
      <c r="I26" s="74">
        <v>1.26</v>
      </c>
      <c r="J26" s="123">
        <v>9.1787999999999995E-2</v>
      </c>
      <c r="K26" s="74">
        <v>0.12542600000000001</v>
      </c>
      <c r="L26" s="59" t="s">
        <v>438</v>
      </c>
      <c r="M26" s="74" t="s">
        <v>439</v>
      </c>
      <c r="N26" s="74"/>
      <c r="O26" s="74"/>
      <c r="P26" s="74"/>
      <c r="Q26" s="74"/>
      <c r="R26" s="115">
        <f>(48.8+4.55)*G26</f>
        <v>46.947999999999993</v>
      </c>
      <c r="S26" s="110">
        <v>61.6</v>
      </c>
      <c r="T26" s="110">
        <f>5.76*10*I26</f>
        <v>72.575999999999993</v>
      </c>
      <c r="U26" s="110">
        <f>85.52*10*J26</f>
        <v>78.497097599999989</v>
      </c>
      <c r="V26" s="119">
        <v>80</v>
      </c>
      <c r="W26" s="74"/>
    </row>
    <row r="27" spans="1:23">
      <c r="B27" s="60" t="s">
        <v>351</v>
      </c>
      <c r="C27" s="70" t="s">
        <v>364</v>
      </c>
      <c r="D27" s="59" t="s">
        <v>343</v>
      </c>
      <c r="E27" s="60" t="s">
        <v>336</v>
      </c>
      <c r="H27" s="59" t="s">
        <v>349</v>
      </c>
      <c r="I27" s="59" t="s">
        <v>349</v>
      </c>
      <c r="J27" s="59" t="s">
        <v>350</v>
      </c>
      <c r="K27" s="59" t="s">
        <v>349</v>
      </c>
    </row>
    <row r="28" spans="1:23" ht="15.75" thickBot="1">
      <c r="B28" s="73" t="s">
        <v>325</v>
      </c>
      <c r="C28" s="71" t="s">
        <v>344</v>
      </c>
      <c r="D28" s="42" t="s">
        <v>322</v>
      </c>
      <c r="E28" s="66" t="s">
        <v>325</v>
      </c>
      <c r="F28" s="42"/>
      <c r="H28" s="42" t="s">
        <v>344</v>
      </c>
    </row>
    <row r="29" spans="1:23" ht="105.75" thickBot="1">
      <c r="B29" s="64" t="s">
        <v>338</v>
      </c>
      <c r="C29" s="72" t="s">
        <v>348</v>
      </c>
      <c r="D29" t="s">
        <v>345</v>
      </c>
      <c r="E29" s="63" t="s">
        <v>347</v>
      </c>
      <c r="F29" s="62" t="s">
        <v>346</v>
      </c>
      <c r="H29" s="65" t="s">
        <v>335</v>
      </c>
      <c r="I29" s="65" t="s">
        <v>335</v>
      </c>
      <c r="J29" s="65" t="s">
        <v>335</v>
      </c>
      <c r="K29" s="59"/>
    </row>
    <row r="30" spans="1:23" ht="105.75" thickBot="1">
      <c r="B30" s="63" t="s">
        <v>352</v>
      </c>
    </row>
    <row r="31" spans="1:23" ht="15.75" thickBot="1">
      <c r="B31" s="61" t="s">
        <v>353</v>
      </c>
    </row>
    <row r="33" spans="3:24">
      <c r="C33" s="62"/>
    </row>
    <row r="38" spans="3:24" ht="15.75" thickBot="1">
      <c r="M38" s="69"/>
      <c r="N38" s="69"/>
      <c r="O38" s="69"/>
      <c r="P38" s="69"/>
      <c r="Q38" s="69"/>
      <c r="R38" s="116"/>
      <c r="S38" s="116"/>
      <c r="T38" s="116"/>
      <c r="U38" s="116"/>
      <c r="V38" s="116"/>
      <c r="W38" s="69"/>
      <c r="X38" s="69"/>
    </row>
  </sheetData>
  <hyperlinks>
    <hyperlink ref="L6" r:id="rId1"/>
    <hyperlink ref="L8" r:id="rId2"/>
    <hyperlink ref="L12" r:id="rId3"/>
    <hyperlink ref="L18" r:id="rId4"/>
    <hyperlink ref="L20" r:id="rId5"/>
    <hyperlink ref="H29" r:id="rId6"/>
    <hyperlink ref="I29" r:id="rId7"/>
    <hyperlink ref="J29" r:id="rId8"/>
    <hyperlink ref="C27" r:id="rId9" display="https://www.eia.gov/totalenergy/data/annual/"/>
    <hyperlink ref="E27" r:id="rId10"/>
    <hyperlink ref="B29" r:id="rId11" display="http://www.ieso.ca/Learn/Electricity-Pricing/For-Mid-sized-and-Large-Businesses"/>
    <hyperlink ref="L4" r:id="rId12"/>
    <hyperlink ref="L24" r:id="rId13"/>
    <hyperlink ref="L22" r:id="rId14"/>
    <hyperlink ref="D27" r:id="rId15"/>
    <hyperlink ref="B27" r:id="rId16" display="https://www.statista.com/statistics/483230/ontario-yearly-average-electricity-market-price/"/>
    <hyperlink ref="I27" r:id="rId17"/>
    <hyperlink ref="K27" r:id="rId18"/>
    <hyperlink ref="J27" r:id="rId19"/>
    <hyperlink ref="L26" r:id="rId20"/>
    <hyperlink ref="L16" r:id="rId21"/>
    <hyperlink ref="L14" r:id="rId22"/>
    <hyperlink ref="H27" r:id="rId23"/>
    <hyperlink ref="L2" r:id="rId24"/>
  </hyperlinks>
  <pageMargins left="0.7" right="0.7" top="0.75" bottom="0.75" header="0.3" footer="0.3"/>
  <pageSetup orientation="portrait" verticalDpi="0" r:id="rId2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0"/>
  <sheetViews>
    <sheetView topLeftCell="F1" workbookViewId="0">
      <selection activeCell="T3" sqref="T3:AA28"/>
    </sheetView>
  </sheetViews>
  <sheetFormatPr defaultRowHeight="15"/>
  <cols>
    <col min="4" max="4" width="15" customWidth="1"/>
    <col min="5" max="17" width="10.7109375" customWidth="1"/>
    <col min="21" max="21" width="8.42578125" customWidth="1"/>
    <col min="22" max="25" width="16.7109375" customWidth="1"/>
  </cols>
  <sheetData>
    <row r="1" spans="2:25">
      <c r="D1" t="s">
        <v>285</v>
      </c>
      <c r="G1" t="s">
        <v>286</v>
      </c>
      <c r="J1" t="s">
        <v>287</v>
      </c>
      <c r="M1" t="s">
        <v>288</v>
      </c>
      <c r="P1" t="s">
        <v>289</v>
      </c>
    </row>
    <row r="2" spans="2:25">
      <c r="B2" t="s">
        <v>355</v>
      </c>
      <c r="D2" t="s">
        <v>354</v>
      </c>
      <c r="E2" t="s">
        <v>176</v>
      </c>
      <c r="G2" t="s">
        <v>354</v>
      </c>
      <c r="H2" t="s">
        <v>176</v>
      </c>
      <c r="J2" t="s">
        <v>354</v>
      </c>
      <c r="K2" t="s">
        <v>176</v>
      </c>
      <c r="M2" t="s">
        <v>354</v>
      </c>
      <c r="N2" t="s">
        <v>176</v>
      </c>
      <c r="P2" t="s">
        <v>354</v>
      </c>
      <c r="Q2" t="s">
        <v>176</v>
      </c>
    </row>
    <row r="3" spans="2:25">
      <c r="C3" s="1">
        <v>2018</v>
      </c>
      <c r="D3" s="49">
        <v>21</v>
      </c>
      <c r="E3" s="49">
        <v>-7</v>
      </c>
      <c r="F3" s="49"/>
      <c r="G3" s="49">
        <v>22</v>
      </c>
      <c r="H3" s="49">
        <v>-71</v>
      </c>
      <c r="I3" s="49"/>
      <c r="J3" s="49">
        <v>7</v>
      </c>
      <c r="K3" s="49">
        <v>-43</v>
      </c>
      <c r="L3" s="49"/>
      <c r="M3" s="49">
        <v>220</v>
      </c>
      <c r="N3" s="49">
        <v>92</v>
      </c>
      <c r="O3" s="49"/>
      <c r="P3" s="49">
        <v>176</v>
      </c>
      <c r="Q3" s="49">
        <v>73</v>
      </c>
      <c r="R3" s="74"/>
      <c r="S3" s="74"/>
      <c r="T3" s="74"/>
      <c r="U3" s="74"/>
      <c r="V3" s="74"/>
      <c r="W3" s="74"/>
      <c r="X3" s="74"/>
    </row>
    <row r="4" spans="2:25">
      <c r="C4" s="1">
        <v>2017</v>
      </c>
      <c r="D4" s="49">
        <v>-76</v>
      </c>
      <c r="E4" s="49">
        <v>-2</v>
      </c>
      <c r="F4" s="49"/>
      <c r="G4" s="49">
        <v>-77</v>
      </c>
      <c r="H4" s="49">
        <v>-68</v>
      </c>
      <c r="I4" s="49"/>
      <c r="J4" s="49">
        <v>-71</v>
      </c>
      <c r="K4" s="49">
        <v>-41</v>
      </c>
      <c r="L4" s="49"/>
      <c r="M4" s="49">
        <v>138</v>
      </c>
      <c r="N4" s="49">
        <v>96</v>
      </c>
      <c r="O4" s="49"/>
      <c r="P4" s="49">
        <v>73</v>
      </c>
      <c r="Q4" s="49">
        <v>98</v>
      </c>
      <c r="R4" s="74"/>
      <c r="S4" s="74"/>
      <c r="T4" s="74"/>
      <c r="U4" s="74"/>
      <c r="V4" s="74"/>
      <c r="W4" s="74"/>
      <c r="X4" s="74"/>
    </row>
    <row r="5" spans="2:25">
      <c r="C5" s="1">
        <v>2016</v>
      </c>
      <c r="D5" s="49">
        <v>-259</v>
      </c>
      <c r="E5" s="49">
        <v>-4</v>
      </c>
      <c r="F5" s="49"/>
      <c r="G5" s="49">
        <v>-265</v>
      </c>
      <c r="H5" s="49">
        <v>-67</v>
      </c>
      <c r="I5" s="49"/>
      <c r="J5" s="49">
        <v>-277</v>
      </c>
      <c r="K5" s="49">
        <v>-39</v>
      </c>
      <c r="L5" s="49"/>
      <c r="M5" s="49">
        <v>52</v>
      </c>
      <c r="N5" s="49">
        <v>45</v>
      </c>
      <c r="O5" s="49"/>
      <c r="P5" s="49">
        <v>-75</v>
      </c>
      <c r="Q5" s="49">
        <v>129</v>
      </c>
      <c r="R5" s="74"/>
      <c r="S5" s="74"/>
      <c r="T5" s="74"/>
      <c r="U5" s="74"/>
      <c r="V5" s="74"/>
      <c r="W5" s="74"/>
      <c r="X5" s="74"/>
    </row>
    <row r="6" spans="2:25">
      <c r="C6" s="1">
        <v>2015</v>
      </c>
      <c r="D6" s="49">
        <v>-48</v>
      </c>
      <c r="E6" s="49">
        <v>-21</v>
      </c>
      <c r="F6" s="49"/>
      <c r="G6" s="49">
        <v>-79</v>
      </c>
      <c r="H6" s="49">
        <v>-61</v>
      </c>
      <c r="I6" s="49"/>
      <c r="J6" s="49">
        <v>-128</v>
      </c>
      <c r="K6" s="49">
        <v>-34</v>
      </c>
      <c r="L6" s="49"/>
      <c r="M6" s="49">
        <v>186</v>
      </c>
      <c r="N6" s="49">
        <v>83</v>
      </c>
      <c r="O6" s="49"/>
      <c r="P6" s="49">
        <v>6</v>
      </c>
      <c r="Q6" s="49">
        <v>147</v>
      </c>
      <c r="R6" s="74"/>
      <c r="S6" s="74"/>
      <c r="T6" s="74"/>
      <c r="U6" s="74"/>
      <c r="V6" s="74"/>
      <c r="W6" s="74"/>
      <c r="X6" s="74"/>
    </row>
    <row r="7" spans="2:25">
      <c r="C7" s="1">
        <v>2014</v>
      </c>
      <c r="D7" s="49">
        <v>98</v>
      </c>
      <c r="E7" s="49">
        <v>-11</v>
      </c>
      <c r="F7" s="49"/>
      <c r="G7" s="49">
        <v>93</v>
      </c>
      <c r="H7" s="49">
        <v>-55</v>
      </c>
      <c r="I7" s="49"/>
      <c r="J7" s="49">
        <v>25</v>
      </c>
      <c r="K7" s="49">
        <v>17</v>
      </c>
      <c r="L7" s="49"/>
      <c r="M7" s="49">
        <v>296</v>
      </c>
      <c r="N7" s="49">
        <v>186</v>
      </c>
      <c r="O7" s="49"/>
      <c r="P7" s="49">
        <v>154</v>
      </c>
      <c r="Q7" s="49">
        <v>163</v>
      </c>
      <c r="R7" s="74"/>
      <c r="S7" s="74"/>
      <c r="T7" s="74"/>
      <c r="U7" s="74"/>
      <c r="V7" s="175"/>
      <c r="W7" s="175"/>
      <c r="X7" s="175"/>
      <c r="Y7" s="175"/>
    </row>
    <row r="8" spans="2:25">
      <c r="C8" s="1">
        <v>2013</v>
      </c>
      <c r="D8" s="49">
        <v>101</v>
      </c>
      <c r="E8" s="49">
        <v>-3</v>
      </c>
      <c r="F8" s="49"/>
      <c r="G8" s="49">
        <v>99</v>
      </c>
      <c r="H8" s="49">
        <v>-58</v>
      </c>
      <c r="I8" s="49"/>
      <c r="J8" s="49">
        <v>35</v>
      </c>
      <c r="K8" s="49">
        <v>29</v>
      </c>
      <c r="L8" s="49"/>
      <c r="M8" s="49">
        <v>286</v>
      </c>
      <c r="N8" s="49">
        <v>238</v>
      </c>
      <c r="O8" s="49"/>
      <c r="P8" s="49">
        <v>157</v>
      </c>
      <c r="Q8" s="49">
        <v>169</v>
      </c>
      <c r="R8" s="74"/>
      <c r="S8" s="74"/>
      <c r="T8" s="74"/>
      <c r="U8" s="74"/>
      <c r="V8" s="74"/>
      <c r="W8" s="74"/>
      <c r="X8" s="49"/>
      <c r="Y8" s="49"/>
    </row>
    <row r="9" spans="2:25">
      <c r="C9" s="1">
        <v>2012</v>
      </c>
      <c r="D9" s="49">
        <v>36</v>
      </c>
      <c r="E9" s="49">
        <v>-29</v>
      </c>
      <c r="F9" s="49"/>
      <c r="G9" s="49">
        <v>12</v>
      </c>
      <c r="H9" s="49">
        <v>-61</v>
      </c>
      <c r="I9" s="49"/>
      <c r="J9" s="49">
        <v>-66</v>
      </c>
      <c r="K9" s="49">
        <v>29</v>
      </c>
      <c r="L9" s="49"/>
      <c r="M9" s="49">
        <v>220</v>
      </c>
      <c r="N9" s="49">
        <v>210</v>
      </c>
      <c r="O9" s="49"/>
      <c r="P9" s="49">
        <v>170</v>
      </c>
      <c r="Q9" s="49">
        <v>121</v>
      </c>
      <c r="R9" s="74"/>
      <c r="S9" s="74"/>
      <c r="T9" s="74"/>
      <c r="U9" s="1"/>
      <c r="V9" s="49"/>
      <c r="W9" s="49"/>
      <c r="X9" s="49"/>
      <c r="Y9" s="49"/>
    </row>
    <row r="10" spans="2:25">
      <c r="C10" s="1">
        <v>2011</v>
      </c>
      <c r="D10" s="49">
        <v>32</v>
      </c>
      <c r="E10" s="49">
        <v>-29</v>
      </c>
      <c r="F10" s="49"/>
      <c r="G10" s="49">
        <v>12</v>
      </c>
      <c r="H10" s="49">
        <v>-53</v>
      </c>
      <c r="I10" s="49"/>
      <c r="J10" s="49">
        <v>-70</v>
      </c>
      <c r="K10" s="49">
        <v>60</v>
      </c>
      <c r="L10" s="49"/>
      <c r="M10" s="49">
        <v>243</v>
      </c>
      <c r="N10" s="49">
        <v>187</v>
      </c>
      <c r="O10" s="49"/>
      <c r="P10" s="49">
        <v>190</v>
      </c>
      <c r="Q10" s="49">
        <v>121</v>
      </c>
      <c r="R10" s="74"/>
      <c r="S10" s="74"/>
      <c r="T10" s="74"/>
      <c r="U10" s="1"/>
      <c r="V10" s="49"/>
      <c r="W10" s="49"/>
      <c r="X10" s="49"/>
      <c r="Y10" s="49"/>
    </row>
    <row r="11" spans="2:25">
      <c r="C11" s="1">
        <v>2010</v>
      </c>
      <c r="D11" s="49">
        <v>-26</v>
      </c>
      <c r="E11" s="49">
        <v>-50</v>
      </c>
      <c r="F11" s="49"/>
      <c r="G11" s="49">
        <v>-82</v>
      </c>
      <c r="H11" s="49">
        <v>-48</v>
      </c>
      <c r="I11" s="49"/>
      <c r="J11" s="49">
        <v>-186</v>
      </c>
      <c r="K11" s="49">
        <v>25</v>
      </c>
      <c r="L11" s="49"/>
      <c r="M11" s="49">
        <v>164</v>
      </c>
      <c r="N11" s="49">
        <v>195</v>
      </c>
      <c r="O11" s="49"/>
      <c r="P11" s="49">
        <v>77</v>
      </c>
      <c r="Q11" s="49">
        <v>156</v>
      </c>
      <c r="R11" s="74"/>
      <c r="S11" s="74"/>
      <c r="T11" s="74"/>
      <c r="U11" s="1"/>
      <c r="V11" s="49"/>
      <c r="W11" s="49"/>
      <c r="X11" s="49"/>
      <c r="Y11" s="49"/>
    </row>
    <row r="12" spans="2:25">
      <c r="C12" s="1">
        <v>2009</v>
      </c>
      <c r="D12" s="49">
        <v>-194</v>
      </c>
      <c r="E12" s="49">
        <v>-71</v>
      </c>
      <c r="F12" s="49"/>
      <c r="G12" s="49">
        <v>-285</v>
      </c>
      <c r="H12" s="49">
        <v>-43</v>
      </c>
      <c r="I12" s="49"/>
      <c r="J12" s="49">
        <v>-356</v>
      </c>
      <c r="K12" s="49">
        <v>37</v>
      </c>
      <c r="L12" s="49"/>
      <c r="M12" s="49">
        <v>45</v>
      </c>
      <c r="N12" s="49">
        <v>145</v>
      </c>
      <c r="O12" s="49"/>
      <c r="P12" s="49">
        <v>-40</v>
      </c>
      <c r="Q12" s="49">
        <v>129</v>
      </c>
      <c r="R12" s="74"/>
      <c r="S12" s="74"/>
      <c r="T12" s="74"/>
      <c r="U12" s="1"/>
      <c r="V12" s="49"/>
      <c r="W12" s="49"/>
      <c r="X12" s="49"/>
      <c r="Y12" s="49"/>
    </row>
    <row r="13" spans="2:25">
      <c r="C13" s="1">
        <v>2008</v>
      </c>
      <c r="D13" s="49">
        <v>194</v>
      </c>
      <c r="E13" s="49">
        <v>-73</v>
      </c>
      <c r="F13" s="49"/>
      <c r="G13" s="49">
        <v>171</v>
      </c>
      <c r="H13" s="49">
        <v>-40</v>
      </c>
      <c r="I13" s="49"/>
      <c r="J13" s="49">
        <v>96</v>
      </c>
      <c r="K13" s="49">
        <v>52</v>
      </c>
      <c r="L13" s="49"/>
      <c r="M13" s="49">
        <v>441</v>
      </c>
      <c r="N13" s="49">
        <v>243</v>
      </c>
      <c r="O13" s="49"/>
      <c r="P13" s="49">
        <v>302</v>
      </c>
      <c r="Q13" s="49">
        <v>119</v>
      </c>
      <c r="R13" s="74"/>
      <c r="S13" s="74"/>
      <c r="T13" s="74"/>
      <c r="U13" s="1"/>
      <c r="V13" s="49"/>
      <c r="W13" s="49"/>
      <c r="X13" s="49"/>
      <c r="Y13" s="49"/>
    </row>
    <row r="14" spans="2:25">
      <c r="C14" s="1">
        <v>2007</v>
      </c>
      <c r="D14" s="49">
        <v>127</v>
      </c>
      <c r="E14" s="49">
        <v>-79</v>
      </c>
      <c r="F14" s="49"/>
      <c r="G14" s="49">
        <v>96</v>
      </c>
      <c r="H14" s="49">
        <v>-50</v>
      </c>
      <c r="I14" s="49"/>
      <c r="J14" s="49">
        <v>35</v>
      </c>
      <c r="K14" s="49">
        <v>0</v>
      </c>
      <c r="L14" s="49"/>
      <c r="M14" s="49">
        <v>391</v>
      </c>
      <c r="N14" s="49">
        <v>208</v>
      </c>
      <c r="O14" s="49"/>
      <c r="P14" s="49">
        <v>273</v>
      </c>
      <c r="Q14" s="49">
        <v>103</v>
      </c>
      <c r="R14" s="74"/>
      <c r="S14" s="74"/>
      <c r="T14" s="74"/>
      <c r="U14" s="1"/>
      <c r="V14" s="49"/>
      <c r="W14" s="49"/>
      <c r="X14" s="49"/>
      <c r="Y14" s="49"/>
    </row>
    <row r="15" spans="2:25">
      <c r="C15" s="1">
        <v>2006</v>
      </c>
      <c r="D15" s="49">
        <v>82</v>
      </c>
      <c r="E15" s="49">
        <v>-89</v>
      </c>
      <c r="F15" s="49"/>
      <c r="G15" s="49">
        <v>43</v>
      </c>
      <c r="H15" s="49">
        <v>-51</v>
      </c>
      <c r="I15" s="49"/>
      <c r="J15" s="49">
        <v>-41</v>
      </c>
      <c r="K15" s="49">
        <v>-10</v>
      </c>
      <c r="L15" s="49"/>
      <c r="M15" s="49">
        <v>322</v>
      </c>
      <c r="N15" s="49">
        <v>221</v>
      </c>
      <c r="O15" s="49"/>
      <c r="P15" s="49">
        <v>184</v>
      </c>
      <c r="Q15" s="49">
        <v>154</v>
      </c>
      <c r="R15" s="74"/>
      <c r="S15" s="74"/>
      <c r="T15" s="74"/>
      <c r="U15" s="1"/>
      <c r="V15" s="49"/>
      <c r="W15" s="49"/>
      <c r="X15" s="49"/>
      <c r="Y15" s="49"/>
    </row>
    <row r="16" spans="2:25">
      <c r="C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74"/>
      <c r="S16" s="74"/>
      <c r="T16" s="74"/>
      <c r="U16" s="1"/>
      <c r="V16" s="49"/>
      <c r="W16" s="49"/>
      <c r="X16" s="49"/>
      <c r="Y16" s="49"/>
    </row>
    <row r="17" spans="2:25">
      <c r="C17" s="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74"/>
      <c r="S17" s="74"/>
      <c r="T17" s="74"/>
      <c r="U17" s="1"/>
      <c r="V17" s="49"/>
      <c r="W17" s="49"/>
      <c r="X17" s="49"/>
      <c r="Y17" s="49"/>
    </row>
    <row r="18" spans="2:25">
      <c r="C18" s="1"/>
      <c r="D18" s="49" t="s">
        <v>285</v>
      </c>
      <c r="E18" s="49"/>
      <c r="F18" s="49"/>
      <c r="G18" s="49" t="s">
        <v>286</v>
      </c>
      <c r="H18" s="49"/>
      <c r="I18" s="49"/>
      <c r="J18" s="49" t="s">
        <v>287</v>
      </c>
      <c r="K18" s="49"/>
      <c r="L18" s="49"/>
      <c r="M18" s="49" t="s">
        <v>288</v>
      </c>
      <c r="N18" s="49"/>
      <c r="O18" s="49"/>
      <c r="P18" s="49" t="s">
        <v>289</v>
      </c>
      <c r="Q18" s="49"/>
      <c r="R18" s="74"/>
      <c r="S18" s="74"/>
      <c r="T18" s="74"/>
      <c r="U18" s="1"/>
      <c r="V18" s="49"/>
      <c r="W18" s="49"/>
      <c r="X18" s="49"/>
      <c r="Y18" s="49"/>
    </row>
    <row r="19" spans="2:25">
      <c r="B19" t="s">
        <v>356</v>
      </c>
      <c r="C19" s="1"/>
      <c r="D19" s="49" t="s">
        <v>354</v>
      </c>
      <c r="E19" s="49" t="s">
        <v>176</v>
      </c>
      <c r="F19" s="49"/>
      <c r="G19" s="49" t="s">
        <v>354</v>
      </c>
      <c r="H19" s="49" t="s">
        <v>176</v>
      </c>
      <c r="I19" s="49"/>
      <c r="J19" s="49" t="s">
        <v>354</v>
      </c>
      <c r="K19" s="49" t="s">
        <v>176</v>
      </c>
      <c r="L19" s="49"/>
      <c r="M19" s="49" t="s">
        <v>354</v>
      </c>
      <c r="N19" s="49" t="s">
        <v>176</v>
      </c>
      <c r="O19" s="49"/>
      <c r="P19" s="49" t="s">
        <v>354</v>
      </c>
      <c r="Q19" s="49" t="s">
        <v>176</v>
      </c>
      <c r="R19" s="74"/>
      <c r="S19" s="74"/>
      <c r="T19" s="74"/>
      <c r="U19" s="1"/>
      <c r="V19" s="49"/>
      <c r="W19" s="49"/>
      <c r="X19" s="49"/>
      <c r="Y19" s="49"/>
    </row>
    <row r="20" spans="2:25">
      <c r="C20" s="1">
        <v>2018</v>
      </c>
      <c r="D20" s="49">
        <v>85</v>
      </c>
      <c r="E20" s="49">
        <v>-4</v>
      </c>
      <c r="F20" s="49"/>
      <c r="G20" s="49">
        <v>55</v>
      </c>
      <c r="H20" s="49">
        <v>6</v>
      </c>
      <c r="I20" s="49"/>
      <c r="J20" s="49">
        <v>33</v>
      </c>
      <c r="K20" s="49">
        <v>-28</v>
      </c>
      <c r="L20" s="49"/>
      <c r="M20" s="49">
        <v>226</v>
      </c>
      <c r="N20" s="49">
        <v>194</v>
      </c>
      <c r="O20" s="49"/>
      <c r="P20" s="49">
        <v>162</v>
      </c>
      <c r="Q20" s="49">
        <v>212</v>
      </c>
      <c r="R20" s="74"/>
      <c r="S20" s="74"/>
      <c r="T20" s="74"/>
      <c r="U20" s="1"/>
      <c r="V20" s="49"/>
      <c r="W20" s="49"/>
      <c r="X20" s="49"/>
      <c r="Y20" s="49"/>
    </row>
    <row r="21" spans="2:25">
      <c r="C21" s="1">
        <v>2017</v>
      </c>
      <c r="D21" s="49">
        <v>-12</v>
      </c>
      <c r="E21" s="49">
        <v>2</v>
      </c>
      <c r="F21" s="49"/>
      <c r="G21" s="49">
        <v>-44</v>
      </c>
      <c r="H21" s="49">
        <v>9</v>
      </c>
      <c r="I21" s="49"/>
      <c r="J21" s="49">
        <v>-45</v>
      </c>
      <c r="K21" s="49">
        <v>-26</v>
      </c>
      <c r="L21" s="49"/>
      <c r="M21" s="49">
        <v>144</v>
      </c>
      <c r="N21" s="49">
        <v>199</v>
      </c>
      <c r="O21" s="49"/>
      <c r="P21" s="49">
        <v>59</v>
      </c>
      <c r="Q21" s="49">
        <v>236</v>
      </c>
      <c r="R21" s="74"/>
      <c r="S21" s="74"/>
      <c r="T21" s="74"/>
      <c r="U21" s="1"/>
      <c r="V21" s="49"/>
      <c r="W21" s="49"/>
      <c r="X21" s="49"/>
      <c r="Y21" s="49"/>
    </row>
    <row r="22" spans="2:25">
      <c r="C22" s="1">
        <v>2016</v>
      </c>
      <c r="D22" s="49">
        <v>-195</v>
      </c>
      <c r="E22" s="49">
        <v>0</v>
      </c>
      <c r="F22" s="49"/>
      <c r="G22" s="49">
        <v>-232</v>
      </c>
      <c r="H22" s="49">
        <v>9</v>
      </c>
      <c r="I22" s="49"/>
      <c r="J22" s="49">
        <v>-251</v>
      </c>
      <c r="K22" s="49">
        <v>-23</v>
      </c>
      <c r="L22" s="49"/>
      <c r="M22" s="49">
        <v>58</v>
      </c>
      <c r="N22" s="49">
        <v>147</v>
      </c>
      <c r="O22" s="49"/>
      <c r="P22" s="49">
        <v>-89</v>
      </c>
      <c r="Q22" s="49">
        <v>267</v>
      </c>
      <c r="R22" s="74"/>
      <c r="S22" s="74"/>
      <c r="T22" s="74"/>
      <c r="U22" s="74"/>
      <c r="V22" s="175"/>
      <c r="W22" s="175"/>
      <c r="X22" s="49"/>
      <c r="Y22" s="49"/>
    </row>
    <row r="23" spans="2:25">
      <c r="C23" s="1">
        <v>2015</v>
      </c>
      <c r="D23" s="49">
        <v>15</v>
      </c>
      <c r="E23" s="49">
        <v>-17</v>
      </c>
      <c r="F23" s="49"/>
      <c r="G23" s="49">
        <v>-46</v>
      </c>
      <c r="H23" s="49">
        <v>16</v>
      </c>
      <c r="I23" s="49"/>
      <c r="J23" s="49">
        <v>-102</v>
      </c>
      <c r="K23" s="49">
        <v>-18</v>
      </c>
      <c r="L23" s="49"/>
      <c r="M23" s="49">
        <v>192</v>
      </c>
      <c r="N23" s="49">
        <v>186</v>
      </c>
      <c r="O23" s="49"/>
      <c r="P23" s="49">
        <v>-8</v>
      </c>
      <c r="Q23" s="49">
        <v>285</v>
      </c>
      <c r="R23" s="74"/>
      <c r="S23" s="74"/>
      <c r="T23" s="74"/>
      <c r="U23" s="74"/>
      <c r="V23" s="74"/>
      <c r="W23" s="74"/>
      <c r="X23" s="74"/>
    </row>
    <row r="24" spans="2:25">
      <c r="C24" s="1">
        <v>2014</v>
      </c>
      <c r="D24" s="49">
        <v>162</v>
      </c>
      <c r="E24" s="49">
        <v>-8</v>
      </c>
      <c r="F24" s="49"/>
      <c r="G24" s="49">
        <v>127</v>
      </c>
      <c r="H24" s="49">
        <v>21</v>
      </c>
      <c r="I24" s="49"/>
      <c r="J24" s="49">
        <v>51</v>
      </c>
      <c r="K24" s="49">
        <v>32</v>
      </c>
      <c r="L24" s="49"/>
      <c r="M24" s="49">
        <v>302</v>
      </c>
      <c r="N24" s="49">
        <v>289</v>
      </c>
      <c r="O24" s="49"/>
      <c r="P24" s="49">
        <v>140</v>
      </c>
      <c r="Q24" s="49">
        <v>301</v>
      </c>
      <c r="R24" s="74"/>
      <c r="S24" s="74"/>
      <c r="T24" s="74"/>
      <c r="U24" s="74"/>
      <c r="V24" s="30"/>
      <c r="W24" s="30"/>
      <c r="X24" s="74"/>
    </row>
    <row r="25" spans="2:25">
      <c r="C25" s="1">
        <v>2013</v>
      </c>
      <c r="D25" s="49">
        <v>165</v>
      </c>
      <c r="E25" s="49">
        <v>1</v>
      </c>
      <c r="F25" s="49"/>
      <c r="G25" s="49">
        <v>132</v>
      </c>
      <c r="H25" s="49">
        <v>18</v>
      </c>
      <c r="I25" s="49"/>
      <c r="J25" s="49">
        <v>61</v>
      </c>
      <c r="K25" s="49">
        <v>44</v>
      </c>
      <c r="L25" s="49"/>
      <c r="M25" s="49">
        <v>293</v>
      </c>
      <c r="N25" s="49">
        <v>341</v>
      </c>
      <c r="O25" s="49"/>
      <c r="P25" s="49">
        <v>143</v>
      </c>
      <c r="Q25" s="49">
        <v>307</v>
      </c>
      <c r="R25" s="74"/>
      <c r="S25" s="74"/>
      <c r="T25" s="74"/>
      <c r="U25" s="74"/>
      <c r="V25" s="74"/>
      <c r="W25" s="74"/>
      <c r="X25" s="74"/>
    </row>
    <row r="26" spans="2:25">
      <c r="C26" s="1">
        <v>2012</v>
      </c>
      <c r="D26" s="49">
        <v>100</v>
      </c>
      <c r="E26" s="49">
        <v>-25</v>
      </c>
      <c r="F26" s="49"/>
      <c r="G26" s="49">
        <v>46</v>
      </c>
      <c r="H26" s="49">
        <v>15</v>
      </c>
      <c r="I26" s="49"/>
      <c r="J26" s="49">
        <v>-40</v>
      </c>
      <c r="K26" s="49">
        <v>44</v>
      </c>
      <c r="L26" s="49"/>
      <c r="M26" s="49">
        <v>226</v>
      </c>
      <c r="N26" s="49">
        <v>313</v>
      </c>
      <c r="O26" s="49"/>
      <c r="P26" s="49">
        <v>156</v>
      </c>
      <c r="Q26" s="49">
        <v>259</v>
      </c>
      <c r="R26" s="74"/>
      <c r="S26" s="74"/>
      <c r="T26" s="74"/>
      <c r="U26" s="74"/>
      <c r="V26" s="74"/>
      <c r="W26" s="74"/>
      <c r="X26" s="74"/>
    </row>
    <row r="27" spans="2:25">
      <c r="C27" s="1">
        <v>2011</v>
      </c>
      <c r="D27" s="49">
        <v>95</v>
      </c>
      <c r="E27" s="49">
        <v>-25</v>
      </c>
      <c r="F27" s="49"/>
      <c r="G27" s="49">
        <v>45</v>
      </c>
      <c r="H27" s="49">
        <v>23</v>
      </c>
      <c r="I27" s="49"/>
      <c r="J27" s="49">
        <v>-43</v>
      </c>
      <c r="K27" s="49">
        <v>75</v>
      </c>
      <c r="L27" s="49"/>
      <c r="M27" s="49">
        <v>249</v>
      </c>
      <c r="N27" s="49">
        <v>290</v>
      </c>
      <c r="O27" s="49"/>
      <c r="P27" s="49">
        <v>176</v>
      </c>
      <c r="Q27" s="49">
        <v>259</v>
      </c>
      <c r="R27" s="74"/>
      <c r="S27" s="74"/>
      <c r="T27" s="74"/>
      <c r="U27" s="74"/>
      <c r="V27" s="74"/>
      <c r="W27" s="74"/>
      <c r="X27" s="74"/>
    </row>
    <row r="28" spans="2:25">
      <c r="C28" s="1">
        <v>2010</v>
      </c>
      <c r="D28" s="49">
        <v>37</v>
      </c>
      <c r="E28" s="49">
        <v>-46</v>
      </c>
      <c r="F28" s="49"/>
      <c r="G28" s="49">
        <v>-48</v>
      </c>
      <c r="H28" s="49">
        <v>28</v>
      </c>
      <c r="I28" s="49"/>
      <c r="J28" s="49">
        <v>-160</v>
      </c>
      <c r="K28" s="49">
        <v>40</v>
      </c>
      <c r="L28" s="49"/>
      <c r="M28" s="49">
        <v>170</v>
      </c>
      <c r="N28" s="49">
        <v>297</v>
      </c>
      <c r="O28" s="49"/>
      <c r="P28" s="49">
        <v>63</v>
      </c>
      <c r="Q28" s="49">
        <v>294</v>
      </c>
      <c r="R28" s="74"/>
      <c r="S28" s="74"/>
      <c r="T28" s="74"/>
      <c r="U28" s="74"/>
      <c r="V28" s="74"/>
      <c r="W28" s="74"/>
      <c r="X28" s="74"/>
    </row>
    <row r="29" spans="2:25">
      <c r="C29" s="1">
        <v>2009</v>
      </c>
      <c r="D29" s="49">
        <v>-130</v>
      </c>
      <c r="E29" s="49">
        <v>-67</v>
      </c>
      <c r="F29" s="49"/>
      <c r="G29" s="49">
        <v>-251</v>
      </c>
      <c r="H29" s="49">
        <v>33</v>
      </c>
      <c r="I29" s="49"/>
      <c r="J29" s="49">
        <v>-330</v>
      </c>
      <c r="K29" s="49">
        <v>52</v>
      </c>
      <c r="L29" s="49"/>
      <c r="M29" s="49">
        <v>51</v>
      </c>
      <c r="N29" s="49">
        <v>248</v>
      </c>
      <c r="O29" s="49"/>
      <c r="P29" s="49">
        <v>-54</v>
      </c>
      <c r="Q29" s="49">
        <v>267</v>
      </c>
      <c r="R29" s="74"/>
      <c r="S29" s="74"/>
      <c r="T29" s="74"/>
      <c r="U29" s="74"/>
      <c r="V29" s="74"/>
      <c r="W29" s="74"/>
      <c r="X29" s="74"/>
    </row>
    <row r="30" spans="2:25">
      <c r="C30" s="1">
        <v>2008</v>
      </c>
      <c r="D30" s="49">
        <v>257</v>
      </c>
      <c r="E30" s="49">
        <v>-69</v>
      </c>
      <c r="F30" s="49"/>
      <c r="G30" s="49">
        <v>204</v>
      </c>
      <c r="H30" s="49">
        <v>36</v>
      </c>
      <c r="I30" s="49"/>
      <c r="J30" s="49">
        <v>122</v>
      </c>
      <c r="K30" s="49">
        <v>67</v>
      </c>
      <c r="L30" s="49"/>
      <c r="M30" s="49">
        <v>447</v>
      </c>
      <c r="N30" s="49">
        <v>346</v>
      </c>
      <c r="O30" s="49"/>
      <c r="P30" s="49">
        <v>288</v>
      </c>
      <c r="Q30" s="49">
        <v>257</v>
      </c>
      <c r="R30" s="74"/>
      <c r="S30" s="74"/>
      <c r="T30" s="74"/>
      <c r="U30" s="74"/>
      <c r="V30" s="74"/>
      <c r="W30" s="74"/>
      <c r="X30" s="74"/>
    </row>
    <row r="31" spans="2:25">
      <c r="C31" s="1">
        <v>2007</v>
      </c>
      <c r="D31" s="49">
        <v>191</v>
      </c>
      <c r="E31" s="49">
        <v>-75</v>
      </c>
      <c r="F31" s="49"/>
      <c r="G31" s="49">
        <v>129</v>
      </c>
      <c r="H31" s="49">
        <v>27</v>
      </c>
      <c r="I31" s="49"/>
      <c r="J31" s="49">
        <v>61</v>
      </c>
      <c r="K31" s="49">
        <v>15</v>
      </c>
      <c r="L31" s="49"/>
      <c r="M31" s="49">
        <v>397</v>
      </c>
      <c r="N31" s="49">
        <v>311</v>
      </c>
      <c r="O31" s="49"/>
      <c r="P31" s="49">
        <v>259</v>
      </c>
      <c r="Q31" s="49">
        <v>241</v>
      </c>
      <c r="R31" s="74"/>
      <c r="S31" s="74"/>
      <c r="T31" s="74"/>
      <c r="U31" s="74"/>
      <c r="V31" s="74"/>
      <c r="W31" s="74"/>
      <c r="X31" s="74"/>
    </row>
    <row r="32" spans="2:25">
      <c r="C32" s="1">
        <v>2006</v>
      </c>
      <c r="D32" s="49">
        <v>146</v>
      </c>
      <c r="E32" s="49">
        <v>-85</v>
      </c>
      <c r="F32" s="49"/>
      <c r="G32" s="49">
        <v>76</v>
      </c>
      <c r="H32" s="49">
        <v>25</v>
      </c>
      <c r="I32" s="49"/>
      <c r="J32" s="49">
        <v>-15</v>
      </c>
      <c r="K32" s="49">
        <v>5</v>
      </c>
      <c r="L32" s="49"/>
      <c r="M32" s="49">
        <v>328</v>
      </c>
      <c r="N32" s="49">
        <v>324</v>
      </c>
      <c r="O32" s="49"/>
      <c r="P32" s="49">
        <v>170</v>
      </c>
      <c r="Q32" s="49">
        <v>292</v>
      </c>
      <c r="R32" s="74"/>
      <c r="S32" s="74"/>
      <c r="T32" s="74"/>
      <c r="U32" s="74"/>
      <c r="V32" s="74"/>
      <c r="W32" s="74"/>
      <c r="X32" s="74"/>
    </row>
    <row r="33" spans="4:24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74"/>
      <c r="S33" s="74"/>
      <c r="T33" s="74"/>
      <c r="U33" s="74"/>
      <c r="V33" s="74"/>
      <c r="W33" s="74"/>
      <c r="X33" s="74"/>
    </row>
    <row r="34" spans="4:24"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44" spans="4:24">
      <c r="E44" s="1"/>
      <c r="F44" s="49"/>
      <c r="G44" s="49"/>
      <c r="H44" s="49"/>
      <c r="I44" s="49"/>
      <c r="J44" s="49"/>
      <c r="K44" s="49"/>
      <c r="L44" s="49"/>
      <c r="M44" s="49"/>
      <c r="N44" s="49"/>
      <c r="O44" s="49"/>
      <c r="Q44" s="49"/>
    </row>
    <row r="45" spans="4:24">
      <c r="E45" s="1"/>
      <c r="F45" s="49"/>
      <c r="G45" s="49"/>
      <c r="H45" s="49"/>
      <c r="I45" s="49"/>
      <c r="J45" s="49"/>
      <c r="K45" s="49"/>
      <c r="L45" s="49"/>
      <c r="M45" s="49"/>
      <c r="N45" s="49"/>
      <c r="O45" s="49"/>
      <c r="Q45" s="49"/>
    </row>
    <row r="46" spans="4:24">
      <c r="E46" s="1"/>
      <c r="F46" s="49"/>
      <c r="G46" s="49"/>
      <c r="H46" s="49"/>
      <c r="I46" s="49"/>
      <c r="J46" s="49"/>
      <c r="K46" s="49"/>
      <c r="L46" s="49"/>
      <c r="M46" s="49"/>
      <c r="N46" s="49"/>
      <c r="O46" s="49"/>
      <c r="Q46" s="49"/>
    </row>
    <row r="47" spans="4:24"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Q47" s="49"/>
    </row>
    <row r="48" spans="4:24"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Q48" s="49"/>
    </row>
    <row r="49" spans="4:19"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Q49" s="49"/>
    </row>
    <row r="50" spans="4:19">
      <c r="E50" s="1"/>
      <c r="F50" s="49"/>
      <c r="G50" s="49"/>
      <c r="H50" s="49"/>
      <c r="I50" s="49"/>
      <c r="J50" s="49"/>
      <c r="K50" s="49"/>
      <c r="L50" s="49"/>
      <c r="M50" s="49"/>
      <c r="N50" s="49"/>
      <c r="O50" s="49"/>
      <c r="Q50" s="49"/>
    </row>
    <row r="51" spans="4:19">
      <c r="E51" s="1"/>
      <c r="F51" s="49"/>
      <c r="G51" s="49"/>
      <c r="H51" s="49"/>
      <c r="I51" s="49"/>
      <c r="J51" s="49"/>
      <c r="K51" s="49"/>
      <c r="L51" s="49"/>
      <c r="M51" s="49"/>
      <c r="N51" s="49"/>
      <c r="O51" s="49"/>
      <c r="Q51" s="49"/>
    </row>
    <row r="52" spans="4:19">
      <c r="E52" s="1"/>
      <c r="F52" s="49"/>
      <c r="G52" s="49"/>
      <c r="H52" s="49"/>
      <c r="I52" s="49"/>
      <c r="J52" s="49"/>
      <c r="K52" s="49"/>
      <c r="L52" s="49"/>
      <c r="M52" s="49"/>
      <c r="N52" s="49"/>
      <c r="O52" s="49"/>
      <c r="Q52" s="49"/>
    </row>
    <row r="53" spans="4:19">
      <c r="E53" s="1"/>
      <c r="F53" s="49"/>
      <c r="G53" s="49"/>
      <c r="H53" s="49"/>
      <c r="I53" s="49"/>
      <c r="J53" s="49"/>
      <c r="K53" s="49"/>
      <c r="L53" s="49"/>
      <c r="M53" s="49"/>
      <c r="N53" s="49"/>
      <c r="O53" s="49"/>
      <c r="Q53" s="49"/>
    </row>
    <row r="54" spans="4:19">
      <c r="E54" s="1"/>
      <c r="F54" s="49"/>
      <c r="G54" s="49"/>
      <c r="H54" s="49"/>
      <c r="I54" s="49"/>
      <c r="J54" s="49"/>
      <c r="K54" s="49"/>
      <c r="L54" s="49"/>
      <c r="M54" s="49"/>
      <c r="N54" s="49"/>
      <c r="O54" s="49"/>
      <c r="Q54" s="49"/>
    </row>
    <row r="55" spans="4:19">
      <c r="E55" s="1"/>
      <c r="F55" s="49"/>
      <c r="G55" s="49"/>
      <c r="H55" s="49"/>
      <c r="I55" s="49"/>
      <c r="J55" s="49"/>
      <c r="K55" s="49"/>
      <c r="L55" s="49"/>
      <c r="M55" s="49"/>
      <c r="N55" s="49"/>
      <c r="O55" s="49"/>
      <c r="Q55" s="49"/>
    </row>
    <row r="56" spans="4:19">
      <c r="E56" s="1"/>
      <c r="F56" s="49"/>
      <c r="G56" s="49"/>
      <c r="H56" s="49"/>
      <c r="I56" s="49"/>
      <c r="J56" s="49"/>
      <c r="K56" s="49"/>
      <c r="L56" s="49"/>
      <c r="M56" s="49"/>
      <c r="N56" s="49"/>
      <c r="Q56" s="49"/>
      <c r="R56" s="49"/>
      <c r="S56" s="49"/>
    </row>
    <row r="60" spans="4:19">
      <c r="D60" s="49">
        <v>39</v>
      </c>
      <c r="E60" s="49"/>
      <c r="F60" s="49"/>
      <c r="G60" s="49"/>
      <c r="H60" s="49">
        <v>-47</v>
      </c>
      <c r="I60" s="49"/>
      <c r="J60" s="49">
        <v>0</v>
      </c>
      <c r="K60" s="49">
        <v>-27</v>
      </c>
      <c r="L60" s="49"/>
      <c r="M60" s="49">
        <v>223</v>
      </c>
      <c r="N60" s="49">
        <v>63</v>
      </c>
      <c r="O60" s="49"/>
      <c r="P60" s="49">
        <v>171</v>
      </c>
      <c r="Q60" s="49">
        <v>53</v>
      </c>
    </row>
    <row r="61" spans="4:19">
      <c r="D61" s="49">
        <v>-72</v>
      </c>
      <c r="E61" s="49">
        <v>-2</v>
      </c>
      <c r="F61" s="49"/>
      <c r="G61" s="49">
        <v>-70</v>
      </c>
      <c r="H61" s="49">
        <v>-48</v>
      </c>
      <c r="I61" s="49"/>
      <c r="J61" s="49">
        <v>-44</v>
      </c>
      <c r="K61" s="49">
        <v>-19</v>
      </c>
      <c r="L61" s="49"/>
      <c r="M61" s="49">
        <v>129</v>
      </c>
      <c r="N61" s="49">
        <v>62</v>
      </c>
      <c r="O61" s="49"/>
      <c r="P61" s="49">
        <v>71</v>
      </c>
      <c r="Q61" s="49">
        <v>72</v>
      </c>
    </row>
    <row r="62" spans="4:19">
      <c r="D62" s="49">
        <v>-247</v>
      </c>
      <c r="E62" s="49">
        <v>-5</v>
      </c>
      <c r="F62" s="49"/>
      <c r="G62" s="49">
        <v>-204</v>
      </c>
      <c r="H62" s="49">
        <v>-50</v>
      </c>
      <c r="I62" s="49"/>
      <c r="J62" s="49">
        <v>-194</v>
      </c>
      <c r="K62" s="49">
        <v>-18</v>
      </c>
      <c r="L62" s="49"/>
      <c r="M62" s="49">
        <v>31</v>
      </c>
      <c r="N62" s="49">
        <v>22</v>
      </c>
      <c r="O62" s="49"/>
      <c r="P62" s="49">
        <v>-53</v>
      </c>
      <c r="Q62" s="49">
        <v>88</v>
      </c>
    </row>
    <row r="63" spans="4:19">
      <c r="D63" s="49">
        <v>-64</v>
      </c>
      <c r="E63" s="49">
        <v>-21</v>
      </c>
      <c r="F63" s="49"/>
      <c r="G63" s="49">
        <v>-73</v>
      </c>
      <c r="H63" s="49">
        <v>-47</v>
      </c>
      <c r="I63" s="49"/>
      <c r="J63" s="49">
        <v>-91</v>
      </c>
      <c r="K63" s="49">
        <v>-16</v>
      </c>
      <c r="L63" s="49"/>
      <c r="M63" s="49">
        <v>9</v>
      </c>
      <c r="N63" s="49">
        <v>51</v>
      </c>
      <c r="O63" s="49"/>
      <c r="P63" s="49">
        <v>-7</v>
      </c>
      <c r="Q63" s="49">
        <v>93</v>
      </c>
    </row>
    <row r="64" spans="4:19">
      <c r="D64" s="49">
        <v>37</v>
      </c>
      <c r="E64" s="49">
        <v>-42</v>
      </c>
      <c r="F64" s="49"/>
      <c r="G64" s="49">
        <v>66</v>
      </c>
      <c r="H64" s="49">
        <v>-44</v>
      </c>
      <c r="I64" s="49"/>
      <c r="J64" s="49">
        <v>-60</v>
      </c>
      <c r="K64" s="49">
        <v>-17</v>
      </c>
      <c r="L64" s="49"/>
      <c r="M64" s="49">
        <v>176</v>
      </c>
      <c r="N64" s="49">
        <v>93</v>
      </c>
      <c r="O64" s="49"/>
      <c r="P64" s="49">
        <v>116</v>
      </c>
      <c r="Q64" s="49">
        <v>97</v>
      </c>
    </row>
    <row r="65" spans="4:17">
      <c r="D65" s="49">
        <v>0</v>
      </c>
      <c r="E65" s="49">
        <v>-51</v>
      </c>
      <c r="F65" s="49"/>
      <c r="G65" s="49">
        <v>63</v>
      </c>
      <c r="H65" s="49">
        <v>-48</v>
      </c>
      <c r="I65" s="49"/>
      <c r="J65" s="49">
        <v>-57</v>
      </c>
      <c r="K65" s="49">
        <v>-12</v>
      </c>
      <c r="L65" s="49"/>
      <c r="M65" s="49">
        <v>159</v>
      </c>
      <c r="N65" s="49">
        <v>101</v>
      </c>
      <c r="O65" s="49"/>
      <c r="P65" s="49">
        <v>108</v>
      </c>
      <c r="Q65" s="49">
        <v>95</v>
      </c>
    </row>
    <row r="66" spans="4:17">
      <c r="D66" s="49">
        <v>-119</v>
      </c>
      <c r="E66" s="49">
        <v>-79</v>
      </c>
      <c r="F66" s="49"/>
      <c r="G66" s="49">
        <v>-22</v>
      </c>
      <c r="H66" s="49">
        <v>-52</v>
      </c>
      <c r="I66" s="49"/>
      <c r="J66" s="49">
        <v>-128</v>
      </c>
      <c r="K66" s="49">
        <v>-11</v>
      </c>
      <c r="L66" s="49"/>
      <c r="M66" s="49">
        <v>96</v>
      </c>
      <c r="N66" s="49">
        <v>82</v>
      </c>
      <c r="O66" s="49"/>
      <c r="P66" s="49"/>
      <c r="Q66" s="49"/>
    </row>
    <row r="67" spans="4:17">
      <c r="D67" s="49">
        <v>-137</v>
      </c>
      <c r="E67" s="49">
        <v>-84</v>
      </c>
      <c r="F67" s="49"/>
      <c r="G67" s="49">
        <v>-34</v>
      </c>
      <c r="H67" s="49">
        <v>-49</v>
      </c>
      <c r="I67" s="49"/>
      <c r="J67" s="49">
        <v>-169</v>
      </c>
      <c r="K67" s="49">
        <v>-10</v>
      </c>
      <c r="L67" s="49"/>
      <c r="M67" s="49">
        <v>73</v>
      </c>
      <c r="N67" s="49">
        <v>83</v>
      </c>
      <c r="O67" s="49"/>
      <c r="P67" s="49"/>
      <c r="Q67" s="49"/>
    </row>
    <row r="68" spans="4:17">
      <c r="D68" s="49">
        <v>-183</v>
      </c>
      <c r="E68" s="49">
        <v>-88</v>
      </c>
      <c r="F68" s="49"/>
      <c r="G68" s="49">
        <v>-107</v>
      </c>
      <c r="H68" s="49">
        <v>-50</v>
      </c>
      <c r="I68" s="49"/>
      <c r="J68" s="49">
        <v>-228</v>
      </c>
      <c r="K68" s="49">
        <v>-25</v>
      </c>
      <c r="L68" s="49"/>
      <c r="M68" s="49">
        <v>25</v>
      </c>
      <c r="N68" s="49">
        <v>59</v>
      </c>
      <c r="O68" s="49"/>
      <c r="P68" s="49">
        <v>44</v>
      </c>
      <c r="Q68" s="49">
        <v>83</v>
      </c>
    </row>
    <row r="69" spans="4:17">
      <c r="D69" s="49">
        <v>-272</v>
      </c>
      <c r="E69" s="49">
        <v>-82</v>
      </c>
      <c r="F69" s="49"/>
      <c r="G69" s="49">
        <v>-231</v>
      </c>
      <c r="H69" s="49">
        <v>-49</v>
      </c>
      <c r="I69" s="49"/>
      <c r="J69" s="49">
        <v>-359</v>
      </c>
      <c r="K69" s="49">
        <v>-27</v>
      </c>
      <c r="L69" s="49"/>
      <c r="M69" s="49">
        <v>-53</v>
      </c>
      <c r="N69" s="49">
        <v>37</v>
      </c>
      <c r="O69" s="49"/>
      <c r="P69" s="49">
        <v>-34</v>
      </c>
      <c r="Q69" s="49">
        <v>70</v>
      </c>
    </row>
    <row r="70" spans="4:17">
      <c r="D70" s="49">
        <v>81</v>
      </c>
      <c r="E70" s="49">
        <v>-101</v>
      </c>
      <c r="F70" s="49"/>
      <c r="G70" s="49">
        <v>76</v>
      </c>
      <c r="H70" s="49">
        <v>-46</v>
      </c>
      <c r="I70" s="49"/>
      <c r="J70" s="49">
        <v>-103</v>
      </c>
      <c r="K70" s="49">
        <v>-40</v>
      </c>
      <c r="L70" s="49"/>
      <c r="M70" s="49">
        <v>158</v>
      </c>
      <c r="N70" s="49">
        <v>80</v>
      </c>
      <c r="O70" s="49"/>
      <c r="P70" s="49">
        <v>220</v>
      </c>
      <c r="Q70" s="49">
        <v>63</v>
      </c>
    </row>
    <row r="71" spans="4:17">
      <c r="D71" s="49">
        <v>0</v>
      </c>
      <c r="E71" s="49">
        <v>-103</v>
      </c>
      <c r="F71" s="49"/>
      <c r="G71" s="49">
        <v>4</v>
      </c>
      <c r="H71" s="49">
        <v>-57</v>
      </c>
      <c r="I71" s="49"/>
      <c r="J71" s="49">
        <v>-140</v>
      </c>
      <c r="K71" s="49">
        <v>-67</v>
      </c>
      <c r="L71" s="49"/>
      <c r="M71" s="49">
        <v>115</v>
      </c>
      <c r="N71" s="49">
        <v>32</v>
      </c>
      <c r="O71" s="49"/>
      <c r="P71" s="49">
        <v>200</v>
      </c>
      <c r="Q71" s="49">
        <v>56</v>
      </c>
    </row>
    <row r="72" spans="4:17">
      <c r="D72" s="49">
        <v>-28</v>
      </c>
      <c r="E72" s="49">
        <v>-98</v>
      </c>
      <c r="F72" s="49"/>
      <c r="G72" s="49">
        <v>-51</v>
      </c>
      <c r="H72" s="49">
        <v>-61</v>
      </c>
      <c r="I72" s="49"/>
      <c r="J72" s="49">
        <v>-159</v>
      </c>
      <c r="K72" s="49">
        <v>-60</v>
      </c>
      <c r="L72" s="49"/>
      <c r="M72" s="49">
        <v>63</v>
      </c>
      <c r="N72" s="49">
        <v>36</v>
      </c>
      <c r="O72" s="49"/>
      <c r="P72" s="49"/>
      <c r="Q72" s="49"/>
    </row>
    <row r="73" spans="4:17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4:17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4:17">
      <c r="D75" s="49" t="s">
        <v>285</v>
      </c>
      <c r="E75" s="49"/>
      <c r="F75" s="49"/>
      <c r="G75" s="49" t="s">
        <v>286</v>
      </c>
      <c r="H75" s="49"/>
      <c r="I75" s="49"/>
      <c r="J75" s="49" t="s">
        <v>287</v>
      </c>
      <c r="K75" s="49"/>
      <c r="L75" s="49"/>
      <c r="M75" s="49" t="s">
        <v>288</v>
      </c>
      <c r="N75" s="49"/>
      <c r="O75" s="49"/>
      <c r="P75" s="49" t="s">
        <v>289</v>
      </c>
      <c r="Q75" s="49"/>
    </row>
    <row r="76" spans="4:17">
      <c r="D76" s="49" t="s">
        <v>354</v>
      </c>
      <c r="E76" s="49" t="s">
        <v>176</v>
      </c>
      <c r="F76" s="49"/>
      <c r="G76" s="49" t="s">
        <v>354</v>
      </c>
      <c r="H76" s="49" t="s">
        <v>176</v>
      </c>
      <c r="I76" s="49"/>
      <c r="J76" s="49" t="s">
        <v>354</v>
      </c>
      <c r="K76" s="49" t="s">
        <v>176</v>
      </c>
      <c r="L76" s="49"/>
      <c r="M76" s="49" t="s">
        <v>354</v>
      </c>
      <c r="N76" s="49" t="s">
        <v>176</v>
      </c>
      <c r="O76" s="49"/>
      <c r="P76" s="49" t="s">
        <v>354</v>
      </c>
      <c r="Q76" s="49" t="s">
        <v>176</v>
      </c>
    </row>
    <row r="77" spans="4:17">
      <c r="D77" s="49">
        <v>69</v>
      </c>
      <c r="E77" s="49">
        <v>1</v>
      </c>
      <c r="F77" s="49"/>
      <c r="G77" s="49">
        <v>44</v>
      </c>
      <c r="H77" s="49">
        <v>7</v>
      </c>
      <c r="I77" s="49"/>
      <c r="J77" s="49">
        <v>19</v>
      </c>
      <c r="K77" s="49">
        <v>-16</v>
      </c>
      <c r="L77" s="49"/>
      <c r="M77" s="49">
        <v>228</v>
      </c>
      <c r="N77" s="49">
        <v>137</v>
      </c>
      <c r="O77" s="49"/>
      <c r="P77" s="49">
        <v>161</v>
      </c>
      <c r="Q77" s="49">
        <v>151</v>
      </c>
    </row>
    <row r="78" spans="4:17">
      <c r="D78" s="49">
        <v>-22</v>
      </c>
      <c r="E78" s="49">
        <v>0</v>
      </c>
      <c r="F78" s="49"/>
      <c r="G78" s="49">
        <v>-47</v>
      </c>
      <c r="H78" s="49">
        <v>7</v>
      </c>
      <c r="I78" s="49"/>
      <c r="J78" s="49">
        <v>-25</v>
      </c>
      <c r="K78" s="49">
        <v>-8</v>
      </c>
      <c r="L78" s="49"/>
      <c r="M78" s="49">
        <v>133</v>
      </c>
      <c r="N78" s="49">
        <v>135</v>
      </c>
      <c r="O78" s="49"/>
      <c r="P78" s="49">
        <v>61</v>
      </c>
      <c r="Q78" s="49">
        <v>170</v>
      </c>
    </row>
    <row r="79" spans="4:17">
      <c r="D79" s="49">
        <v>-149</v>
      </c>
      <c r="E79" s="49">
        <v>-2</v>
      </c>
      <c r="F79" s="49"/>
      <c r="G79" s="49">
        <v>-180</v>
      </c>
      <c r="H79" s="49">
        <v>4</v>
      </c>
      <c r="I79" s="49"/>
      <c r="J79" s="49">
        <v>-176</v>
      </c>
      <c r="K79" s="49">
        <v>-7</v>
      </c>
      <c r="L79" s="49"/>
      <c r="M79" s="49">
        <v>36</v>
      </c>
      <c r="N79" s="49">
        <v>95</v>
      </c>
      <c r="O79" s="49"/>
      <c r="P79" s="49">
        <v>-63</v>
      </c>
      <c r="Q79" s="49">
        <v>186</v>
      </c>
    </row>
    <row r="80" spans="4:17">
      <c r="D80" s="49">
        <v>-17</v>
      </c>
      <c r="E80" s="49">
        <v>-19</v>
      </c>
      <c r="F80" s="49"/>
      <c r="G80" s="49">
        <v>-50</v>
      </c>
      <c r="H80" s="49">
        <v>7</v>
      </c>
      <c r="I80" s="49"/>
      <c r="J80" s="49">
        <v>-73</v>
      </c>
      <c r="K80" s="49">
        <v>-5</v>
      </c>
      <c r="L80" s="49"/>
      <c r="M80" s="49">
        <v>14</v>
      </c>
      <c r="N80" s="49">
        <v>124</v>
      </c>
      <c r="O80" s="49"/>
      <c r="P80" s="49">
        <v>-17</v>
      </c>
      <c r="Q80" s="49">
        <v>191</v>
      </c>
    </row>
    <row r="81" spans="4:17">
      <c r="D81" s="49">
        <v>64</v>
      </c>
      <c r="E81" s="49">
        <v>-39</v>
      </c>
      <c r="F81" s="49"/>
      <c r="G81" s="49">
        <v>89</v>
      </c>
      <c r="H81" s="49">
        <v>11</v>
      </c>
      <c r="I81" s="49"/>
      <c r="J81" s="49">
        <v>-41</v>
      </c>
      <c r="K81" s="49">
        <v>-6</v>
      </c>
      <c r="L81" s="49"/>
      <c r="M81" s="49">
        <v>181</v>
      </c>
      <c r="N81" s="49">
        <v>166</v>
      </c>
      <c r="O81" s="49"/>
      <c r="P81" s="49">
        <v>106</v>
      </c>
      <c r="Q81" s="49">
        <v>195</v>
      </c>
    </row>
    <row r="82" spans="4:17">
      <c r="D82" s="49">
        <v>32</v>
      </c>
      <c r="E82" s="49">
        <v>-49</v>
      </c>
      <c r="F82" s="49"/>
      <c r="G82" s="49">
        <v>87</v>
      </c>
      <c r="H82" s="49">
        <v>7</v>
      </c>
      <c r="I82" s="49"/>
      <c r="J82" s="49">
        <v>-38</v>
      </c>
      <c r="K82" s="49">
        <v>-1</v>
      </c>
      <c r="L82" s="49"/>
      <c r="M82" s="49">
        <v>163</v>
      </c>
      <c r="N82" s="49">
        <v>175</v>
      </c>
      <c r="O82" s="49"/>
      <c r="P82" s="49">
        <v>98</v>
      </c>
      <c r="Q82" s="49">
        <v>193</v>
      </c>
    </row>
    <row r="83" spans="4:17">
      <c r="D83" s="49">
        <v>-66</v>
      </c>
      <c r="E83" s="49">
        <v>-77</v>
      </c>
      <c r="F83" s="49"/>
      <c r="G83" s="49">
        <v>2</v>
      </c>
      <c r="H83" s="49">
        <v>3</v>
      </c>
      <c r="I83" s="49"/>
      <c r="J83" s="49">
        <v>-109</v>
      </c>
      <c r="K83" s="49">
        <v>0</v>
      </c>
      <c r="L83" s="49"/>
      <c r="M83" s="49">
        <v>101</v>
      </c>
      <c r="N83" s="49">
        <v>155</v>
      </c>
      <c r="O83" s="49"/>
      <c r="P83" s="49"/>
      <c r="Q83" s="49"/>
    </row>
    <row r="84" spans="4:17">
      <c r="D84" s="49">
        <v>-80</v>
      </c>
      <c r="E84" s="49">
        <v>-81</v>
      </c>
      <c r="F84" s="49"/>
      <c r="G84" s="49">
        <v>-11</v>
      </c>
      <c r="H84" s="49">
        <v>5</v>
      </c>
      <c r="I84" s="49"/>
      <c r="J84" s="49">
        <v>-151</v>
      </c>
      <c r="K84" s="49">
        <v>1</v>
      </c>
      <c r="L84" s="49"/>
      <c r="M84" s="49">
        <v>77</v>
      </c>
      <c r="N84" s="49">
        <v>156</v>
      </c>
      <c r="O84" s="49"/>
      <c r="P84" s="49"/>
      <c r="Q84" s="49"/>
    </row>
    <row r="85" spans="4:17">
      <c r="D85" s="49">
        <v>-112</v>
      </c>
      <c r="E85" s="49">
        <v>-86</v>
      </c>
      <c r="F85" s="49"/>
      <c r="G85" s="49">
        <v>-83</v>
      </c>
      <c r="H85" s="49">
        <v>4</v>
      </c>
      <c r="I85" s="49"/>
      <c r="J85" s="49">
        <v>-209</v>
      </c>
      <c r="K85" s="49">
        <v>-14</v>
      </c>
      <c r="L85" s="49"/>
      <c r="M85" s="49">
        <v>29</v>
      </c>
      <c r="N85" s="49">
        <v>132</v>
      </c>
      <c r="O85" s="49"/>
      <c r="P85" s="49">
        <v>34</v>
      </c>
      <c r="Q85" s="49">
        <v>181</v>
      </c>
    </row>
    <row r="86" spans="4:17">
      <c r="D86" s="49">
        <v>-173</v>
      </c>
      <c r="E86" s="49">
        <v>-79</v>
      </c>
      <c r="F86" s="49"/>
      <c r="G86" s="49">
        <v>-208</v>
      </c>
      <c r="H86" s="49">
        <v>6</v>
      </c>
      <c r="I86" s="49"/>
      <c r="J86" s="49">
        <v>-340</v>
      </c>
      <c r="K86" s="49">
        <v>-16</v>
      </c>
      <c r="L86" s="49"/>
      <c r="M86" s="49">
        <v>-48</v>
      </c>
      <c r="N86" s="49">
        <v>110</v>
      </c>
      <c r="O86" s="49"/>
      <c r="P86" s="49">
        <v>-44</v>
      </c>
      <c r="Q86" s="49">
        <v>168</v>
      </c>
    </row>
    <row r="87" spans="4:17">
      <c r="D87" s="49">
        <v>97</v>
      </c>
      <c r="E87" s="49">
        <v>-98</v>
      </c>
      <c r="F87" s="49"/>
      <c r="G87" s="49">
        <v>100</v>
      </c>
      <c r="H87" s="49">
        <v>8</v>
      </c>
      <c r="I87" s="49"/>
      <c r="J87" s="49">
        <v>-85</v>
      </c>
      <c r="K87" s="49">
        <v>-29</v>
      </c>
      <c r="L87" s="49"/>
      <c r="M87" s="49">
        <v>162</v>
      </c>
      <c r="N87" s="49">
        <v>154</v>
      </c>
      <c r="O87" s="49"/>
      <c r="P87" s="49">
        <v>211</v>
      </c>
      <c r="Q87" s="49">
        <v>161</v>
      </c>
    </row>
    <row r="88" spans="4:17">
      <c r="D88" s="49">
        <v>29</v>
      </c>
      <c r="E88" s="49">
        <v>-100</v>
      </c>
      <c r="F88" s="49"/>
      <c r="G88" s="49">
        <v>27</v>
      </c>
      <c r="H88" s="49">
        <v>-3</v>
      </c>
      <c r="I88" s="49"/>
      <c r="J88" s="49">
        <v>-121</v>
      </c>
      <c r="K88" s="49">
        <v>-56</v>
      </c>
      <c r="L88" s="49"/>
      <c r="M88" s="49">
        <v>119</v>
      </c>
      <c r="N88" s="49">
        <v>105</v>
      </c>
      <c r="O88" s="49"/>
      <c r="P88" s="49">
        <v>190</v>
      </c>
      <c r="Q88" s="49">
        <v>154</v>
      </c>
    </row>
    <row r="89" spans="4:17">
      <c r="D89" s="49">
        <v>6</v>
      </c>
      <c r="E89" s="49">
        <v>-96</v>
      </c>
      <c r="F89" s="49"/>
      <c r="G89" s="49">
        <v>-27</v>
      </c>
      <c r="H89" s="49">
        <v>-7</v>
      </c>
      <c r="I89" s="49"/>
      <c r="J89" s="49">
        <v>-140</v>
      </c>
      <c r="K89" s="49">
        <v>-49</v>
      </c>
      <c r="L89" s="49"/>
      <c r="M89" s="49">
        <v>68</v>
      </c>
      <c r="N89" s="49">
        <v>109</v>
      </c>
      <c r="O89" s="49"/>
      <c r="P89" s="49"/>
      <c r="Q89" s="49"/>
    </row>
    <row r="90" spans="4:17">
      <c r="D90" s="49"/>
      <c r="E90" s="49"/>
      <c r="F90" s="49"/>
      <c r="G90" s="49"/>
      <c r="H90" s="49"/>
      <c r="I90" s="49"/>
      <c r="J90" s="49"/>
      <c r="K90" s="49"/>
      <c r="L90" s="49"/>
      <c r="M90" s="49">
        <f>AVERAGE(M78:M89)</f>
        <v>86.25</v>
      </c>
      <c r="N90" s="49">
        <f t="shared" ref="N90" si="0">AVERAGE(N78:N89)</f>
        <v>134.66666666666666</v>
      </c>
      <c r="O90" s="49"/>
      <c r="P90" s="49">
        <f t="shared" ref="P90:Q90" si="1">AVERAGE(P78:P89)</f>
        <v>64</v>
      </c>
      <c r="Q90" s="49">
        <f t="shared" si="1"/>
        <v>177.66666666666666</v>
      </c>
    </row>
  </sheetData>
  <mergeCells count="3">
    <mergeCell ref="V7:W7"/>
    <mergeCell ref="V22:W22"/>
    <mergeCell ref="X7:Y7"/>
  </mergeCells>
  <conditionalFormatting sqref="D3:D15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{3C4F2D6C-2101-4205-9A58-FB1AE9827C6B}</x14:id>
        </ext>
      </extLst>
    </cfRule>
  </conditionalFormatting>
  <conditionalFormatting sqref="E3:E15">
    <cfRule type="dataBar" priority="1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{B89F3E88-C0BE-4206-96D1-1CAECA646CC1}</x14:id>
        </ext>
      </extLst>
    </cfRule>
  </conditionalFormatting>
  <conditionalFormatting sqref="G3:Q15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{D5322FD5-80BF-4BB0-BE01-6FFEE0F7D8D8}</x14:id>
        </ext>
      </extLst>
    </cfRule>
  </conditionalFormatting>
  <conditionalFormatting sqref="D20:Q32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{8EF4A3ED-3B19-42B1-B35D-58199BBA2750}</x14:id>
        </ext>
      </extLst>
    </cfRule>
  </conditionalFormatting>
  <conditionalFormatting sqref="D20:E32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{E5F2E140-1B36-4A18-BA8D-D7018272DE6E}</x14:id>
        </ext>
      </extLst>
    </cfRule>
  </conditionalFormatting>
  <conditionalFormatting sqref="D3:Q32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{F9C8E353-4287-4E37-BF93-7E1174B30B4B}</x14:id>
        </ext>
      </extLst>
    </cfRule>
  </conditionalFormatting>
  <conditionalFormatting sqref="G21:H32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{10CA09DD-AEA4-4A47-97C7-0073AD5691A8}</x14:id>
        </ext>
      </extLst>
    </cfRule>
  </conditionalFormatting>
  <conditionalFormatting sqref="X8:Y8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{99276BCE-68E7-4AD9-ABF7-6356D3C16E60}</x14:id>
        </ext>
      </extLst>
    </cfRule>
  </conditionalFormatting>
  <conditionalFormatting sqref="F44:F56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{5F07E754-2419-4D91-9292-E9EF8AF9238B}</x14:id>
        </ext>
      </extLst>
    </cfRule>
  </conditionalFormatting>
  <conditionalFormatting sqref="G44:G56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{DDC5CB80-4511-4D7F-B3FB-57FB5449E94B}</x14:id>
        </ext>
      </extLst>
    </cfRule>
  </conditionalFormatting>
  <conditionalFormatting sqref="Q56:S56 Q44:Q55 H56:N56 H44:O55">
    <cfRule type="dataBar" priority="1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{95305D9D-6C45-4C88-8F5B-7D8790C35E5F}</x14:id>
        </ext>
      </extLst>
    </cfRule>
  </conditionalFormatting>
  <conditionalFormatting sqref="Q56:S56 Q44:Q55 F56:N56 F44:O55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{3CCE032E-5682-4357-97D0-036088701979}</x14:id>
        </ext>
      </extLst>
    </cfRule>
  </conditionalFormatting>
  <conditionalFormatting sqref="F44:O56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{6B55F4CF-EED2-4E87-8B74-1DBEF0B1B6D3}</x14:id>
        </ext>
      </extLst>
    </cfRule>
  </conditionalFormatting>
  <conditionalFormatting sqref="D60:D72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{E5F748F1-172B-4B79-BCB6-5F8757E815FE}</x14:id>
        </ext>
      </extLst>
    </cfRule>
  </conditionalFormatting>
  <conditionalFormatting sqref="E60:E72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{FBB43EC1-E059-46F3-B6D7-69635C6AF73C}</x14:id>
        </ext>
      </extLst>
    </cfRule>
  </conditionalFormatting>
  <conditionalFormatting sqref="G60:Q72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{9146F9EB-500E-4279-B8B0-60447A53EB7A}</x14:id>
        </ext>
      </extLst>
    </cfRule>
  </conditionalFormatting>
  <conditionalFormatting sqref="D77:Q89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{A69A6EE0-77E1-4455-8651-7D1AA0D81A92}</x14:id>
        </ext>
      </extLst>
    </cfRule>
  </conditionalFormatting>
  <conditionalFormatting sqref="D77:E8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{65C0BE59-AB60-4F82-A080-33E56128B61D}</x14:id>
        </ext>
      </extLst>
    </cfRule>
  </conditionalFormatting>
  <conditionalFormatting sqref="D60:Q89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{EF4B3158-D861-4A41-95F1-9FDC79109B11}</x14:id>
        </ext>
      </extLst>
    </cfRule>
  </conditionalFormatting>
  <conditionalFormatting sqref="G78:H89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{A7E5C313-E7F4-498E-AB60-55C255273159}</x14:id>
        </ext>
      </extLst>
    </cfRule>
  </conditionalFormatting>
  <conditionalFormatting sqref="V24:W2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{5D5602CE-B495-4264-AD43-518CF2BFAD97}</x14:id>
        </ext>
      </extLst>
    </cfRule>
  </conditionalFormatting>
  <conditionalFormatting sqref="V24:W2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{BB0E9D03-805D-466E-93B2-8C15CC4D720C}</x14:id>
        </ext>
      </extLst>
    </cfRule>
  </conditionalFormatting>
  <conditionalFormatting sqref="V24:W2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{0A77EDDC-0907-4667-A62D-CD5518FCE5B8}</x14:id>
        </ext>
      </extLst>
    </cfRule>
  </conditionalFormatting>
  <conditionalFormatting sqref="V24:W2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{4756C6FC-C569-4922-AA83-57320A4D15F2}</x14:id>
        </ext>
      </extLst>
    </cfRule>
  </conditionalFormatting>
  <conditionalFormatting sqref="V9:W2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{820A6E62-00DE-493F-A8E9-CEFDD419E0FF}</x14:id>
        </ext>
      </extLst>
    </cfRule>
  </conditionalFormatting>
  <conditionalFormatting sqref="V9:W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{0D4C391E-1A0A-41B3-BCA3-C2D2C4511BB7}</x14:id>
        </ext>
      </extLst>
    </cfRule>
  </conditionalFormatting>
  <conditionalFormatting sqref="X9:Y2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{A87163B2-1DE3-4C9D-9957-52ABC56E0927}</x14:id>
        </ext>
      </extLst>
    </cfRule>
  </conditionalFormatting>
  <conditionalFormatting sqref="X9:Y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{F3681759-63BB-4CF7-B0B2-4E1795EDB394}</x14:id>
        </ext>
      </extLst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F2D6C-2101-4205-9A58-FB1AE9827C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D3:D15</xm:sqref>
        </x14:conditionalFormatting>
        <x14:conditionalFormatting xmlns:xm="http://schemas.microsoft.com/office/excel/2006/main">
          <x14:cfRule type="dataBar" id="{B89F3E88-C0BE-4206-96D1-1CAECA646C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E3:E15</xm:sqref>
        </x14:conditionalFormatting>
        <x14:conditionalFormatting xmlns:xm="http://schemas.microsoft.com/office/excel/2006/main">
          <x14:cfRule type="dataBar" id="{D5322FD5-80BF-4BB0-BE01-6FFEE0F7D8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G3:Q15</xm:sqref>
        </x14:conditionalFormatting>
        <x14:conditionalFormatting xmlns:xm="http://schemas.microsoft.com/office/excel/2006/main">
          <x14:cfRule type="dataBar" id="{8EF4A3ED-3B19-42B1-B35D-58199BBA2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D20:Q32</xm:sqref>
        </x14:conditionalFormatting>
        <x14:conditionalFormatting xmlns:xm="http://schemas.microsoft.com/office/excel/2006/main">
          <x14:cfRule type="dataBar" id="{E5F2E140-1B36-4A18-BA8D-D7018272DE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D20:E32</xm:sqref>
        </x14:conditionalFormatting>
        <x14:conditionalFormatting xmlns:xm="http://schemas.microsoft.com/office/excel/2006/main">
          <x14:cfRule type="dataBar" id="{F9C8E353-4287-4E37-BF93-7E1174B30B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D3:Q32</xm:sqref>
        </x14:conditionalFormatting>
        <x14:conditionalFormatting xmlns:xm="http://schemas.microsoft.com/office/excel/2006/main">
          <x14:cfRule type="dataBar" id="{10CA09DD-AEA4-4A47-97C7-0073AD569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G21:H32</xm:sqref>
        </x14:conditionalFormatting>
        <x14:conditionalFormatting xmlns:xm="http://schemas.microsoft.com/office/excel/2006/main">
          <x14:cfRule type="dataBar" id="{99276BCE-68E7-4AD9-ABF7-6356D3C16E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X8:Y8</xm:sqref>
        </x14:conditionalFormatting>
        <x14:conditionalFormatting xmlns:xm="http://schemas.microsoft.com/office/excel/2006/main">
          <x14:cfRule type="dataBar" id="{5F07E754-2419-4D91-9292-E9EF8AF92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F44:F56</xm:sqref>
        </x14:conditionalFormatting>
        <x14:conditionalFormatting xmlns:xm="http://schemas.microsoft.com/office/excel/2006/main">
          <x14:cfRule type="dataBar" id="{DDC5CB80-4511-4D7F-B3FB-57FB5449E9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G44:G56</xm:sqref>
        </x14:conditionalFormatting>
        <x14:conditionalFormatting xmlns:xm="http://schemas.microsoft.com/office/excel/2006/main">
          <x14:cfRule type="dataBar" id="{95305D9D-6C45-4C88-8F5B-7D8790C35E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Q56:S56 Q44:Q55 H56:N56 H44:O55</xm:sqref>
        </x14:conditionalFormatting>
        <x14:conditionalFormatting xmlns:xm="http://schemas.microsoft.com/office/excel/2006/main">
          <x14:cfRule type="dataBar" id="{3CCE032E-5682-4357-97D0-0360887019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Q56:S56 Q44:Q55 F56:N56 F44:O55</xm:sqref>
        </x14:conditionalFormatting>
        <x14:conditionalFormatting xmlns:xm="http://schemas.microsoft.com/office/excel/2006/main">
          <x14:cfRule type="dataBar" id="{6B55F4CF-EED2-4E87-8B74-1DBEF0B1B6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F44:O56</xm:sqref>
        </x14:conditionalFormatting>
        <x14:conditionalFormatting xmlns:xm="http://schemas.microsoft.com/office/excel/2006/main">
          <x14:cfRule type="dataBar" id="{E5F748F1-172B-4B79-BCB6-5F8757E815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D60:D72</xm:sqref>
        </x14:conditionalFormatting>
        <x14:conditionalFormatting xmlns:xm="http://schemas.microsoft.com/office/excel/2006/main">
          <x14:cfRule type="dataBar" id="{FBB43EC1-E059-46F3-B6D7-69635C6AF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E60:E72</xm:sqref>
        </x14:conditionalFormatting>
        <x14:conditionalFormatting xmlns:xm="http://schemas.microsoft.com/office/excel/2006/main">
          <x14:cfRule type="dataBar" id="{9146F9EB-500E-4279-B8B0-60447A53EB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G60:Q72</xm:sqref>
        </x14:conditionalFormatting>
        <x14:conditionalFormatting xmlns:xm="http://schemas.microsoft.com/office/excel/2006/main">
          <x14:cfRule type="dataBar" id="{A69A6EE0-77E1-4455-8651-7D1AA0D81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D77:Q89</xm:sqref>
        </x14:conditionalFormatting>
        <x14:conditionalFormatting xmlns:xm="http://schemas.microsoft.com/office/excel/2006/main">
          <x14:cfRule type="dataBar" id="{65C0BE59-AB60-4F82-A080-33E56128B6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D77:E89</xm:sqref>
        </x14:conditionalFormatting>
        <x14:conditionalFormatting xmlns:xm="http://schemas.microsoft.com/office/excel/2006/main">
          <x14:cfRule type="dataBar" id="{EF4B3158-D861-4A41-95F1-9FDC79109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D60:Q89</xm:sqref>
        </x14:conditionalFormatting>
        <x14:conditionalFormatting xmlns:xm="http://schemas.microsoft.com/office/excel/2006/main">
          <x14:cfRule type="dataBar" id="{A7E5C313-E7F4-498E-AB60-55C255273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G78:H89</xm:sqref>
        </x14:conditionalFormatting>
        <x14:conditionalFormatting xmlns:xm="http://schemas.microsoft.com/office/excel/2006/main">
          <x14:cfRule type="dataBar" id="{5D5602CE-B495-4264-AD43-518CF2BFAD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V24:W24</xm:sqref>
        </x14:conditionalFormatting>
        <x14:conditionalFormatting xmlns:xm="http://schemas.microsoft.com/office/excel/2006/main">
          <x14:cfRule type="dataBar" id="{BB0E9D03-805D-466E-93B2-8C15CC4D7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V24:W24</xm:sqref>
        </x14:conditionalFormatting>
        <x14:conditionalFormatting xmlns:xm="http://schemas.microsoft.com/office/excel/2006/main">
          <x14:cfRule type="dataBar" id="{0A77EDDC-0907-4667-A62D-CD5518FCE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V24:W24</xm:sqref>
        </x14:conditionalFormatting>
        <x14:conditionalFormatting xmlns:xm="http://schemas.microsoft.com/office/excel/2006/main">
          <x14:cfRule type="dataBar" id="{4756C6FC-C569-4922-AA83-57320A4D1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V24:W24</xm:sqref>
        </x14:conditionalFormatting>
        <x14:conditionalFormatting xmlns:xm="http://schemas.microsoft.com/office/excel/2006/main">
          <x14:cfRule type="dataBar" id="{820A6E62-00DE-493F-A8E9-CEFDD419E0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V9:W21</xm:sqref>
        </x14:conditionalFormatting>
        <x14:conditionalFormatting xmlns:xm="http://schemas.microsoft.com/office/excel/2006/main">
          <x14:cfRule type="dataBar" id="{0D4C391E-1A0A-41B3-BCA3-C2D2C4511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V9:W21</xm:sqref>
        </x14:conditionalFormatting>
        <x14:conditionalFormatting xmlns:xm="http://schemas.microsoft.com/office/excel/2006/main">
          <x14:cfRule type="dataBar" id="{A87163B2-1DE3-4C9D-9957-52ABC56E0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X9:Y21</xm:sqref>
        </x14:conditionalFormatting>
        <x14:conditionalFormatting xmlns:xm="http://schemas.microsoft.com/office/excel/2006/main">
          <x14:cfRule type="dataBar" id="{F3681759-63BB-4CF7-B0B2-4E1795EDB3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X9:Y21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>
      <selection activeCell="G15" sqref="G15"/>
    </sheetView>
  </sheetViews>
  <sheetFormatPr defaultRowHeight="15"/>
  <cols>
    <col min="4" max="17" width="10.7109375" customWidth="1"/>
  </cols>
  <sheetData>
    <row r="1" spans="2:24">
      <c r="D1" t="s">
        <v>285</v>
      </c>
      <c r="G1" t="s">
        <v>286</v>
      </c>
      <c r="J1" t="s">
        <v>287</v>
      </c>
      <c r="M1" t="s">
        <v>288</v>
      </c>
      <c r="P1" t="s">
        <v>289</v>
      </c>
      <c r="T1" s="2"/>
      <c r="U1" s="176"/>
      <c r="V1" s="176"/>
      <c r="W1" s="176"/>
      <c r="X1" s="176"/>
    </row>
    <row r="2" spans="2:24">
      <c r="B2" t="s">
        <v>355</v>
      </c>
      <c r="D2" t="s">
        <v>354</v>
      </c>
      <c r="E2" t="s">
        <v>176</v>
      </c>
      <c r="G2" t="s">
        <v>354</v>
      </c>
      <c r="H2" t="s">
        <v>176</v>
      </c>
      <c r="J2" t="s">
        <v>354</v>
      </c>
      <c r="K2" t="s">
        <v>176</v>
      </c>
      <c r="M2" t="s">
        <v>354</v>
      </c>
      <c r="N2" t="s">
        <v>176</v>
      </c>
      <c r="P2" t="s">
        <v>354</v>
      </c>
      <c r="Q2" t="s">
        <v>176</v>
      </c>
    </row>
    <row r="3" spans="2:24">
      <c r="C3" s="1">
        <v>2018</v>
      </c>
      <c r="D3" s="30"/>
      <c r="E3" s="30"/>
      <c r="F3" s="30"/>
      <c r="G3" s="30">
        <v>-10.279493858978293</v>
      </c>
      <c r="H3" s="30"/>
      <c r="I3" s="30"/>
      <c r="J3" s="30"/>
      <c r="K3" s="30"/>
      <c r="L3" s="30"/>
      <c r="M3" s="30">
        <v>-508.191935062977</v>
      </c>
      <c r="N3" s="30">
        <v>-11.543559305241134</v>
      </c>
      <c r="O3" s="30"/>
      <c r="P3" s="30"/>
      <c r="Q3" s="30">
        <v>-8.1939127676183379</v>
      </c>
    </row>
    <row r="4" spans="2:24">
      <c r="C4" s="1">
        <v>2017</v>
      </c>
      <c r="D4" s="30"/>
      <c r="E4" s="30"/>
      <c r="F4" s="30"/>
      <c r="G4" s="30"/>
      <c r="H4" s="30"/>
      <c r="I4" s="30"/>
      <c r="J4" s="30"/>
      <c r="K4" s="30"/>
      <c r="L4" s="30"/>
      <c r="M4" s="30">
        <v>-318.59164468483311</v>
      </c>
      <c r="N4" s="30">
        <v>-12.161903134730858</v>
      </c>
      <c r="O4" s="30"/>
      <c r="P4" s="30"/>
      <c r="Q4" s="30">
        <v>-10.909722331367298</v>
      </c>
    </row>
    <row r="5" spans="2:24">
      <c r="C5" s="1">
        <v>2016</v>
      </c>
      <c r="D5" s="30"/>
      <c r="E5" s="30"/>
      <c r="F5" s="30"/>
      <c r="G5" s="30"/>
      <c r="H5" s="30"/>
      <c r="I5" s="30"/>
      <c r="J5" s="30"/>
      <c r="K5" s="30"/>
      <c r="L5" s="30"/>
      <c r="M5" s="30">
        <v>-119.62668639357352</v>
      </c>
      <c r="N5" s="30">
        <v>-5.0401640288055889</v>
      </c>
      <c r="O5" s="30"/>
      <c r="P5" s="30">
        <v>-83.034640260490491</v>
      </c>
      <c r="Q5" s="30">
        <v>-14.380405479928262</v>
      </c>
    </row>
    <row r="6" spans="2:24">
      <c r="C6" s="1">
        <v>2015</v>
      </c>
      <c r="D6" s="30"/>
      <c r="E6" s="30"/>
      <c r="F6" s="30"/>
      <c r="G6" s="30"/>
      <c r="H6" s="30"/>
      <c r="I6" s="30"/>
      <c r="J6" s="30"/>
      <c r="K6" s="30"/>
      <c r="L6" s="30"/>
      <c r="M6" s="30">
        <v>-429.34181841754827</v>
      </c>
      <c r="N6" s="30">
        <v>-10.328441779848529</v>
      </c>
      <c r="O6" s="30"/>
      <c r="P6" s="30"/>
      <c r="Q6" s="30">
        <v>-16.404970649922173</v>
      </c>
    </row>
    <row r="7" spans="2:24">
      <c r="C7" s="1">
        <v>2014</v>
      </c>
      <c r="D7" s="30">
        <v>-13.08982156083732</v>
      </c>
      <c r="E7" s="30"/>
      <c r="F7" s="30"/>
      <c r="G7" s="30">
        <v>-43.377406148563985</v>
      </c>
      <c r="H7" s="30"/>
      <c r="I7" s="30"/>
      <c r="J7" s="30"/>
      <c r="K7" s="30"/>
      <c r="L7" s="30"/>
      <c r="M7" s="30">
        <v>-683.56186434327799</v>
      </c>
      <c r="N7" s="30">
        <v>-24.633035370195142</v>
      </c>
      <c r="O7" s="30"/>
      <c r="P7" s="30"/>
      <c r="Q7" s="30">
        <v>-18.140312224202653</v>
      </c>
    </row>
    <row r="8" spans="2:24">
      <c r="C8" s="1">
        <v>2013</v>
      </c>
      <c r="D8" s="30">
        <v>-13.646703806566233</v>
      </c>
      <c r="E8" s="30"/>
      <c r="F8" s="30"/>
      <c r="G8" s="30">
        <v>-45.731953374860794</v>
      </c>
      <c r="H8" s="30"/>
      <c r="I8" s="30"/>
      <c r="J8" s="30"/>
      <c r="K8" s="30">
        <v>-2.9375301647616361</v>
      </c>
      <c r="L8" s="30"/>
      <c r="M8" s="30">
        <v>-661.4485943049433</v>
      </c>
      <c r="N8" s="30">
        <v>-31.88060025537705</v>
      </c>
      <c r="O8" s="30"/>
      <c r="P8" s="30"/>
      <c r="Q8" s="30">
        <v>-18.863371213486186</v>
      </c>
    </row>
    <row r="9" spans="2:24">
      <c r="C9" s="1">
        <v>2012</v>
      </c>
      <c r="D9" s="30">
        <v>-2.1612366684058011</v>
      </c>
      <c r="E9" s="30"/>
      <c r="F9" s="30"/>
      <c r="G9" s="30">
        <v>-5.7863567897709691</v>
      </c>
      <c r="H9" s="30"/>
      <c r="I9" s="30"/>
      <c r="J9" s="30"/>
      <c r="K9" s="30">
        <v>-2.9375301647616361</v>
      </c>
      <c r="L9" s="30"/>
      <c r="M9" s="30">
        <v>-507.10222964696732</v>
      </c>
      <c r="N9" s="30">
        <v>-27.936860831247802</v>
      </c>
      <c r="O9" s="30"/>
      <c r="P9" s="30"/>
      <c r="Q9" s="30">
        <v>-13.483812333216681</v>
      </c>
    </row>
    <row r="10" spans="2:24">
      <c r="C10" s="1">
        <v>2011</v>
      </c>
      <c r="D10" s="30">
        <v>-1.3889868377100805</v>
      </c>
      <c r="E10" s="30"/>
      <c r="F10" s="30"/>
      <c r="G10" s="30">
        <v>-5.430924538630074</v>
      </c>
      <c r="H10" s="30"/>
      <c r="I10" s="30"/>
      <c r="J10" s="30"/>
      <c r="K10" s="30">
        <v>-15.894747252722585</v>
      </c>
      <c r="L10" s="30"/>
      <c r="M10" s="30">
        <v>-561.59810978017174</v>
      </c>
      <c r="N10" s="30">
        <v>-24.751671104922817</v>
      </c>
      <c r="O10" s="30"/>
      <c r="P10" s="30"/>
      <c r="Q10" s="30">
        <v>-13.512734692788024</v>
      </c>
    </row>
    <row r="11" spans="2:24">
      <c r="C11" s="1">
        <v>2010</v>
      </c>
      <c r="D11" s="30"/>
      <c r="E11" s="30"/>
      <c r="F11" s="30"/>
      <c r="G11" s="30"/>
      <c r="H11" s="30"/>
      <c r="I11" s="30"/>
      <c r="J11" s="30"/>
      <c r="K11" s="30">
        <v>-1.3178780287665097</v>
      </c>
      <c r="L11" s="30"/>
      <c r="M11" s="30">
        <v>-377.97772748404623</v>
      </c>
      <c r="N11" s="30">
        <v>-25.837367828794321</v>
      </c>
      <c r="O11" s="30"/>
      <c r="P11" s="30"/>
      <c r="Q11" s="30">
        <v>-17.388330875347773</v>
      </c>
    </row>
    <row r="12" spans="2:24">
      <c r="C12" s="1">
        <v>2009</v>
      </c>
      <c r="D12" s="30"/>
      <c r="E12" s="30"/>
      <c r="F12" s="30"/>
      <c r="G12" s="30"/>
      <c r="H12" s="30"/>
      <c r="I12" s="30"/>
      <c r="J12" s="30"/>
      <c r="K12" s="30">
        <v>-6.1768344367518786</v>
      </c>
      <c r="L12" s="30"/>
      <c r="M12" s="30">
        <v>-103.43394649218004</v>
      </c>
      <c r="N12" s="30">
        <v>-19.021205615349437</v>
      </c>
      <c r="O12" s="30"/>
      <c r="P12" s="30">
        <v>-44.434992629295301</v>
      </c>
      <c r="Q12" s="30">
        <v>-14.380405479928262</v>
      </c>
    </row>
    <row r="13" spans="2:24">
      <c r="C13" s="1">
        <v>2008</v>
      </c>
      <c r="D13" s="30">
        <v>-29.936314894996443</v>
      </c>
      <c r="E13" s="30"/>
      <c r="F13" s="30"/>
      <c r="G13" s="30">
        <v>-79.471073900625967</v>
      </c>
      <c r="H13" s="30"/>
      <c r="I13" s="30"/>
      <c r="J13" s="30">
        <v>-14.462194329801104</v>
      </c>
      <c r="K13" s="30">
        <v>-12.655442980732339</v>
      </c>
      <c r="L13" s="30"/>
      <c r="M13" s="30">
        <v>-1019.6895680671154</v>
      </c>
      <c r="N13" s="30">
        <v>-32.513324173924666</v>
      </c>
      <c r="O13" s="30"/>
      <c r="P13" s="30"/>
      <c r="Q13" s="30">
        <v>-13.223511097074612</v>
      </c>
    </row>
    <row r="14" spans="2:24">
      <c r="C14" s="1">
        <v>2007</v>
      </c>
      <c r="D14" s="30">
        <v>-18.283071648030042</v>
      </c>
      <c r="E14" s="30"/>
      <c r="F14" s="30"/>
      <c r="G14" s="30">
        <v>-44.549133826317878</v>
      </c>
      <c r="H14" s="30"/>
      <c r="I14" s="30"/>
      <c r="J14" s="30"/>
      <c r="K14" s="30"/>
      <c r="L14" s="30"/>
      <c r="M14" s="30">
        <v>-903.54935072791557</v>
      </c>
      <c r="N14" s="30">
        <v>-27.66363913914768</v>
      </c>
      <c r="O14" s="30"/>
      <c r="P14" s="30"/>
      <c r="Q14" s="30">
        <v>-11.488169522794129</v>
      </c>
    </row>
    <row r="15" spans="2:24">
      <c r="C15" s="1">
        <v>2006</v>
      </c>
      <c r="D15" s="30">
        <v>-10.266786072185486</v>
      </c>
      <c r="E15" s="30"/>
      <c r="F15" s="30"/>
      <c r="G15" s="30">
        <v>-19.734348429816688</v>
      </c>
      <c r="H15" s="30"/>
      <c r="I15" s="30"/>
      <c r="J15" s="30"/>
      <c r="K15" s="30"/>
      <c r="L15" s="30"/>
      <c r="M15" s="30">
        <v>-744.22950658945206</v>
      </c>
      <c r="N15" s="30">
        <v>-29.540240761203719</v>
      </c>
      <c r="O15" s="30"/>
      <c r="P15" s="30"/>
      <c r="Q15" s="30">
        <v>-17.128029639205707</v>
      </c>
    </row>
    <row r="16" spans="2:24">
      <c r="C16" s="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17">
      <c r="C17" s="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>
      <c r="C18" s="1"/>
      <c r="D18" s="30" t="s">
        <v>285</v>
      </c>
      <c r="E18" s="30"/>
      <c r="F18" s="30"/>
      <c r="G18" s="30" t="s">
        <v>286</v>
      </c>
      <c r="H18" s="30"/>
      <c r="I18" s="30"/>
      <c r="J18" s="30" t="s">
        <v>287</v>
      </c>
      <c r="K18" s="30"/>
      <c r="L18" s="30"/>
      <c r="M18" s="30" t="s">
        <v>288</v>
      </c>
      <c r="N18" s="30"/>
      <c r="O18" s="30"/>
      <c r="P18" s="30" t="s">
        <v>289</v>
      </c>
      <c r="Q18" s="30"/>
    </row>
    <row r="19" spans="2:17">
      <c r="B19" t="s">
        <v>356</v>
      </c>
      <c r="C19" s="1"/>
      <c r="D19" s="30" t="s">
        <v>354</v>
      </c>
      <c r="E19" s="30" t="s">
        <v>176</v>
      </c>
      <c r="F19" s="30"/>
      <c r="G19" s="30" t="s">
        <v>354</v>
      </c>
      <c r="H19" s="30" t="s">
        <v>176</v>
      </c>
      <c r="I19" s="30"/>
      <c r="J19" s="30" t="s">
        <v>354</v>
      </c>
      <c r="K19" s="30" t="s">
        <v>176</v>
      </c>
      <c r="L19" s="30"/>
      <c r="M19" s="30" t="s">
        <v>354</v>
      </c>
      <c r="N19" s="30" t="s">
        <v>176</v>
      </c>
      <c r="O19" s="30"/>
      <c r="P19" s="30" t="s">
        <v>354</v>
      </c>
      <c r="Q19" s="30" t="s">
        <v>176</v>
      </c>
    </row>
    <row r="20" spans="2:17">
      <c r="C20" s="1">
        <v>2018</v>
      </c>
      <c r="D20" s="30"/>
      <c r="E20" s="30"/>
      <c r="F20" s="30"/>
      <c r="G20" s="30">
        <v>-10.279493858978293</v>
      </c>
      <c r="H20" s="30"/>
      <c r="I20" s="30"/>
      <c r="J20" s="30"/>
      <c r="K20" s="30"/>
      <c r="L20" s="30"/>
      <c r="M20" s="30">
        <v>-508.191935062977</v>
      </c>
      <c r="N20" s="30">
        <v>-11.543559305241134</v>
      </c>
      <c r="O20" s="30"/>
      <c r="P20" s="30"/>
      <c r="Q20" s="30">
        <v>-8.1939127676183379</v>
      </c>
    </row>
    <row r="21" spans="2:17">
      <c r="C21" s="1">
        <v>2017</v>
      </c>
      <c r="D21" s="30"/>
      <c r="E21" s="30"/>
      <c r="F21" s="30"/>
      <c r="G21" s="30"/>
      <c r="H21" s="30"/>
      <c r="I21" s="30"/>
      <c r="J21" s="30"/>
      <c r="K21" s="30"/>
      <c r="L21" s="30"/>
      <c r="M21" s="30">
        <v>-318.59164468483311</v>
      </c>
      <c r="N21" s="30">
        <v>-12.161903134730858</v>
      </c>
      <c r="O21" s="30"/>
      <c r="P21" s="30"/>
      <c r="Q21" s="30">
        <v>-10.909722331367298</v>
      </c>
    </row>
    <row r="22" spans="2:17">
      <c r="C22" s="1">
        <v>2016</v>
      </c>
      <c r="D22" s="30"/>
      <c r="E22" s="30"/>
      <c r="F22" s="30"/>
      <c r="G22" s="30"/>
      <c r="H22" s="30"/>
      <c r="I22" s="30"/>
      <c r="J22" s="30"/>
      <c r="K22" s="30"/>
      <c r="L22" s="30"/>
      <c r="M22" s="30">
        <v>-119.62668639357352</v>
      </c>
      <c r="N22" s="30">
        <v>-5.0401640288055889</v>
      </c>
      <c r="O22" s="30"/>
      <c r="P22" s="30">
        <v>-83.034640260490491</v>
      </c>
      <c r="Q22" s="30">
        <v>-14.380405479928262</v>
      </c>
    </row>
    <row r="23" spans="2:17">
      <c r="C23" s="1">
        <v>2015</v>
      </c>
      <c r="D23" s="30"/>
      <c r="E23" s="30"/>
      <c r="F23" s="30"/>
      <c r="G23" s="30"/>
      <c r="H23" s="30"/>
      <c r="I23" s="30"/>
      <c r="J23" s="30"/>
      <c r="K23" s="30"/>
      <c r="L23" s="30"/>
      <c r="M23" s="30">
        <v>-429.34181841754827</v>
      </c>
      <c r="N23" s="30">
        <v>-10.328441779848529</v>
      </c>
      <c r="O23" s="30"/>
      <c r="P23" s="30"/>
      <c r="Q23" s="30">
        <v>-16.404970649922173</v>
      </c>
    </row>
    <row r="24" spans="2:17">
      <c r="C24" s="1">
        <v>2014</v>
      </c>
      <c r="D24" s="30">
        <v>-13.08982156083732</v>
      </c>
      <c r="E24" s="30"/>
      <c r="F24" s="30"/>
      <c r="G24" s="30">
        <v>-43.377406148563985</v>
      </c>
      <c r="H24" s="30"/>
      <c r="I24" s="30"/>
      <c r="J24" s="30"/>
      <c r="K24" s="30"/>
      <c r="L24" s="30"/>
      <c r="M24" s="30">
        <v>-683.56186434327799</v>
      </c>
      <c r="N24" s="30">
        <v>-24.633035370195142</v>
      </c>
      <c r="O24" s="30"/>
      <c r="P24" s="30"/>
      <c r="Q24" s="30">
        <v>-18.140312224202653</v>
      </c>
    </row>
    <row r="25" spans="2:17">
      <c r="C25" s="1">
        <v>2013</v>
      </c>
      <c r="D25" s="30">
        <v>-13.646703806566233</v>
      </c>
      <c r="E25" s="30"/>
      <c r="F25" s="30"/>
      <c r="G25" s="30">
        <v>-45.731953374860794</v>
      </c>
      <c r="H25" s="30"/>
      <c r="I25" s="30"/>
      <c r="J25" s="30"/>
      <c r="K25" s="30">
        <v>-2.9375301647616361</v>
      </c>
      <c r="L25" s="30"/>
      <c r="M25" s="30">
        <v>-661.4485943049433</v>
      </c>
      <c r="N25" s="30">
        <v>-31.88060025537705</v>
      </c>
      <c r="O25" s="30"/>
      <c r="P25" s="30"/>
      <c r="Q25" s="30">
        <v>-18.863371213486186</v>
      </c>
    </row>
    <row r="26" spans="2:17">
      <c r="C26" s="1">
        <v>2012</v>
      </c>
      <c r="D26" s="30">
        <v>-2.1612366684058011</v>
      </c>
      <c r="E26" s="30"/>
      <c r="F26" s="30"/>
      <c r="G26" s="30">
        <v>-5.7863567897709691</v>
      </c>
      <c r="H26" s="30"/>
      <c r="I26" s="30"/>
      <c r="J26" s="30"/>
      <c r="K26" s="30">
        <v>-2.9375301647616361</v>
      </c>
      <c r="L26" s="30"/>
      <c r="M26" s="30">
        <v>-507.10222964696732</v>
      </c>
      <c r="N26" s="30">
        <v>-27.936860831247802</v>
      </c>
      <c r="O26" s="30"/>
      <c r="P26" s="30"/>
      <c r="Q26" s="30">
        <v>-13.483812333216681</v>
      </c>
    </row>
    <row r="27" spans="2:17">
      <c r="C27" s="1">
        <v>2011</v>
      </c>
      <c r="D27" s="30">
        <v>-1.3889868377100805</v>
      </c>
      <c r="E27" s="30"/>
      <c r="F27" s="30"/>
      <c r="G27" s="30">
        <v>-5.430924538630074</v>
      </c>
      <c r="H27" s="30"/>
      <c r="I27" s="30"/>
      <c r="J27" s="30"/>
      <c r="K27" s="30">
        <v>-15.894747252722585</v>
      </c>
      <c r="L27" s="30"/>
      <c r="M27" s="30">
        <v>-561.59810978017174</v>
      </c>
      <c r="N27" s="30">
        <v>-24.751671104922817</v>
      </c>
      <c r="O27" s="30"/>
      <c r="P27" s="30"/>
      <c r="Q27" s="30">
        <v>-13.512734692788024</v>
      </c>
    </row>
    <row r="28" spans="2:17">
      <c r="C28" s="1">
        <v>2010</v>
      </c>
      <c r="D28" s="30"/>
      <c r="E28" s="30"/>
      <c r="F28" s="30"/>
      <c r="G28" s="30"/>
      <c r="H28" s="30"/>
      <c r="I28" s="30"/>
      <c r="J28" s="30"/>
      <c r="K28" s="30">
        <v>-1.3178780287665097</v>
      </c>
      <c r="L28" s="30"/>
      <c r="M28" s="30">
        <v>-377.97772748404623</v>
      </c>
      <c r="N28" s="30">
        <v>-25.837367828794321</v>
      </c>
      <c r="O28" s="30"/>
      <c r="P28" s="30"/>
      <c r="Q28" s="30">
        <v>-17.388330875347773</v>
      </c>
    </row>
    <row r="29" spans="2:17">
      <c r="C29" s="1">
        <v>2009</v>
      </c>
      <c r="D29" s="30"/>
      <c r="E29" s="30"/>
      <c r="F29" s="30"/>
      <c r="G29" s="30"/>
      <c r="H29" s="30"/>
      <c r="I29" s="30"/>
      <c r="J29" s="30"/>
      <c r="K29" s="30">
        <v>-6.1768344367518786</v>
      </c>
      <c r="L29" s="30"/>
      <c r="M29" s="30">
        <v>-103.43394649218004</v>
      </c>
      <c r="N29" s="30">
        <v>-19.021205615349437</v>
      </c>
      <c r="O29" s="30"/>
      <c r="P29" s="30">
        <v>-44.434992629295301</v>
      </c>
      <c r="Q29" s="30">
        <v>-14.380405479928262</v>
      </c>
    </row>
    <row r="30" spans="2:17">
      <c r="C30" s="1">
        <v>2008</v>
      </c>
      <c r="D30" s="30">
        <v>-29.936314894996443</v>
      </c>
      <c r="E30" s="30"/>
      <c r="F30" s="30"/>
      <c r="G30" s="30">
        <v>-79.471073900625967</v>
      </c>
      <c r="H30" s="30"/>
      <c r="I30" s="30"/>
      <c r="J30" s="30">
        <v>-14.462194329801104</v>
      </c>
      <c r="K30" s="30">
        <v>-12.655442980732339</v>
      </c>
      <c r="L30" s="30"/>
      <c r="M30" s="30">
        <v>-1019.6895680671154</v>
      </c>
      <c r="N30" s="30">
        <v>-32.513324173924666</v>
      </c>
      <c r="O30" s="30"/>
      <c r="P30" s="30"/>
      <c r="Q30" s="30">
        <v>-13.223511097074612</v>
      </c>
    </row>
    <row r="31" spans="2:17">
      <c r="C31" s="1">
        <v>2007</v>
      </c>
      <c r="D31" s="30">
        <v>-18.283071648030042</v>
      </c>
      <c r="E31" s="30"/>
      <c r="F31" s="30"/>
      <c r="G31" s="30">
        <v>-44.549133826317878</v>
      </c>
      <c r="H31" s="30"/>
      <c r="I31" s="30"/>
      <c r="J31" s="30"/>
      <c r="K31" s="30"/>
      <c r="L31" s="30"/>
      <c r="M31" s="30">
        <v>-903.54935072791557</v>
      </c>
      <c r="N31" s="30">
        <v>-27.66363913914768</v>
      </c>
      <c r="O31" s="30"/>
      <c r="P31" s="30"/>
      <c r="Q31" s="30">
        <v>-11.488169522794129</v>
      </c>
    </row>
    <row r="32" spans="2:17">
      <c r="C32" s="1">
        <v>2006</v>
      </c>
      <c r="D32" s="30">
        <v>-10.266786072185486</v>
      </c>
      <c r="E32" s="30"/>
      <c r="F32" s="30"/>
      <c r="G32" s="30">
        <v>-19.734348429816688</v>
      </c>
      <c r="H32" s="30"/>
      <c r="I32" s="30"/>
      <c r="J32" s="30"/>
      <c r="K32" s="30"/>
      <c r="L32" s="30"/>
      <c r="M32" s="30">
        <v>-744.22950658945206</v>
      </c>
      <c r="N32" s="30">
        <v>-29.540240761203719</v>
      </c>
      <c r="O32" s="30"/>
      <c r="P32" s="30"/>
      <c r="Q32" s="30">
        <v>-17.128029639205707</v>
      </c>
    </row>
    <row r="33" spans="4:17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</sheetData>
  <mergeCells count="2">
    <mergeCell ref="U1:V1"/>
    <mergeCell ref="W1:X1"/>
  </mergeCells>
  <conditionalFormatting sqref="D3:D15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{4B294529-A5FE-47FA-9A06-24A516D01E96}</x14:id>
        </ext>
      </extLst>
    </cfRule>
  </conditionalFormatting>
  <conditionalFormatting sqref="E3:E15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{EB2DC93D-2A38-461C-8C13-C175A0C69B98}</x14:id>
        </ext>
      </extLst>
    </cfRule>
  </conditionalFormatting>
  <conditionalFormatting sqref="G3:Q15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{ECB60A53-D7B7-4089-89ED-3B5E347F0B1B}</x14:id>
        </ext>
      </extLst>
    </cfRule>
  </conditionalFormatting>
  <conditionalFormatting sqref="D20:Q32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{A3FC0052-3C62-4625-A879-8E18CE1BF0BA}</x14:id>
        </ext>
      </extLst>
    </cfRule>
  </conditionalFormatting>
  <conditionalFormatting sqref="D20:E3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{BF24BB37-35BC-4BD7-B73E-49F35E95EE3B}</x14:id>
        </ext>
      </extLst>
    </cfRule>
  </conditionalFormatting>
  <conditionalFormatting sqref="D3:Q3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{A7D4C2DF-031D-4267-9F5E-99A63C513659}</x14:id>
        </ext>
      </extLst>
    </cfRule>
  </conditionalFormatting>
  <conditionalFormatting sqref="W16:X1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{D01397F3-932B-4742-A02B-9122A13D2CE5}</x14:id>
        </ext>
      </extLst>
    </cfRule>
  </conditionalFormatting>
  <conditionalFormatting sqref="W3:W1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{71D13C54-29D9-4366-ACEE-3C13E3277ED6}</x14:id>
        </ext>
      </extLst>
    </cfRule>
  </conditionalFormatting>
  <conditionalFormatting sqref="X3:X15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{7B71B0F0-38A2-45C3-899F-03D5931BD698}</x14:id>
        </ext>
      </extLst>
    </cfRule>
  </conditionalFormatting>
  <conditionalFormatting sqref="W3:X1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{6F0D7BE6-F210-440D-88E7-4B907517541D}</x14:id>
        </ext>
      </extLst>
    </cfRule>
  </conditionalFormatting>
  <conditionalFormatting sqref="U3:U1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{BA2CEF11-9127-4513-BBF8-8D0760C11B49}</x14:id>
        </ext>
      </extLst>
    </cfRule>
  </conditionalFormatting>
  <conditionalFormatting sqref="V3:V1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{724CE719-B736-4CCC-9969-35F6EDE9934C}</x14:id>
        </ext>
      </extLst>
    </cfRule>
  </conditionalFormatting>
  <conditionalFormatting sqref="U3:V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{76FEE989-4701-486B-9989-9FB68912185A}</x14:id>
        </ext>
      </extLst>
    </cfRule>
  </conditionalFormatting>
  <conditionalFormatting sqref="J3:Q3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{42AE3766-DAC7-41F8-880B-AD64D77AA82C}</x14:id>
        </ext>
      </extLst>
    </cfRule>
  </conditionalFormatting>
  <conditionalFormatting sqref="D3:E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{46DE59C1-E579-4104-90E0-A2319AA27CEC}</x14:id>
        </ext>
      </extLst>
    </cfRule>
  </conditionalFormatting>
  <conditionalFormatting sqref="G3:H15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{597360DB-11A3-4FB0-AE96-3B6E3F8E1DCC}</x14:id>
        </ext>
      </extLst>
    </cfRule>
  </conditionalFormatting>
  <conditionalFormatting sqref="G20:H3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{F78F0BB0-9BA8-45FF-AAF9-C3ADC9F3FEB5}</x14:id>
        </ext>
      </extLst>
    </cfRule>
  </conditionalFormatting>
  <conditionalFormatting sqref="M3:N1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{A532F826-7795-42E0-A178-A94BCEE9CE49}</x14:id>
        </ext>
      </extLst>
    </cfRule>
  </conditionalFormatting>
  <conditionalFormatting sqref="P3:Q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{2E292AAF-DD5E-4D86-B7AA-780DA3E7D581}</x14:id>
        </ext>
      </extLst>
    </cfRule>
  </conditionalFormatting>
  <conditionalFormatting sqref="M20:N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{19182DDC-C071-4B66-93D4-C4A1B0463540}</x14:id>
        </ext>
      </extLst>
    </cfRule>
  </conditionalFormatting>
  <conditionalFormatting sqref="P20:Q3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{35839DBB-598E-46BE-9114-544A7B084F9C}</x14:id>
        </ext>
      </extLst>
    </cfRule>
  </conditionalFormatting>
  <conditionalFormatting sqref="P3:Q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{5A52CDCD-F392-408F-B7A1-44AC6C19FCA4}</x14:id>
        </ext>
      </extLst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294529-A5FE-47FA-9A06-24A516D01E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D3:D15</xm:sqref>
        </x14:conditionalFormatting>
        <x14:conditionalFormatting xmlns:xm="http://schemas.microsoft.com/office/excel/2006/main">
          <x14:cfRule type="dataBar" id="{EB2DC93D-2A38-461C-8C13-C175A0C69B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E3:E15</xm:sqref>
        </x14:conditionalFormatting>
        <x14:conditionalFormatting xmlns:xm="http://schemas.microsoft.com/office/excel/2006/main">
          <x14:cfRule type="dataBar" id="{ECB60A53-D7B7-4089-89ED-3B5E347F0B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G3:Q15</xm:sqref>
        </x14:conditionalFormatting>
        <x14:conditionalFormatting xmlns:xm="http://schemas.microsoft.com/office/excel/2006/main">
          <x14:cfRule type="dataBar" id="{A3FC0052-3C62-4625-A879-8E18CE1BF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D20:Q32</xm:sqref>
        </x14:conditionalFormatting>
        <x14:conditionalFormatting xmlns:xm="http://schemas.microsoft.com/office/excel/2006/main">
          <x14:cfRule type="dataBar" id="{BF24BB37-35BC-4BD7-B73E-49F35E95EE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D20:E32</xm:sqref>
        </x14:conditionalFormatting>
        <x14:conditionalFormatting xmlns:xm="http://schemas.microsoft.com/office/excel/2006/main">
          <x14:cfRule type="dataBar" id="{A7D4C2DF-031D-4267-9F5E-99A63C513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D3:Q32</xm:sqref>
        </x14:conditionalFormatting>
        <x14:conditionalFormatting xmlns:xm="http://schemas.microsoft.com/office/excel/2006/main">
          <x14:cfRule type="dataBar" id="{D01397F3-932B-4742-A02B-9122A13D2C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W16:X16</xm:sqref>
        </x14:conditionalFormatting>
        <x14:conditionalFormatting xmlns:xm="http://schemas.microsoft.com/office/excel/2006/main">
          <x14:cfRule type="dataBar" id="{71D13C54-29D9-4366-ACEE-3C13E3277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W3:W15</xm:sqref>
        </x14:conditionalFormatting>
        <x14:conditionalFormatting xmlns:xm="http://schemas.microsoft.com/office/excel/2006/main">
          <x14:cfRule type="dataBar" id="{7B71B0F0-38A2-45C3-899F-03D5931BD6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X3:X15</xm:sqref>
        </x14:conditionalFormatting>
        <x14:conditionalFormatting xmlns:xm="http://schemas.microsoft.com/office/excel/2006/main">
          <x14:cfRule type="dataBar" id="{6F0D7BE6-F210-440D-88E7-4B90751754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W3:X15</xm:sqref>
        </x14:conditionalFormatting>
        <x14:conditionalFormatting xmlns:xm="http://schemas.microsoft.com/office/excel/2006/main">
          <x14:cfRule type="dataBar" id="{BA2CEF11-9127-4513-BBF8-8D0760C11B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U3:U15</xm:sqref>
        </x14:conditionalFormatting>
        <x14:conditionalFormatting xmlns:xm="http://schemas.microsoft.com/office/excel/2006/main">
          <x14:cfRule type="dataBar" id="{724CE719-B736-4CCC-9969-35F6EDE99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V3:V15</xm:sqref>
        </x14:conditionalFormatting>
        <x14:conditionalFormatting xmlns:xm="http://schemas.microsoft.com/office/excel/2006/main">
          <x14:cfRule type="dataBar" id="{76FEE989-4701-486B-9989-9FB689121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U3:V15</xm:sqref>
        </x14:conditionalFormatting>
        <x14:conditionalFormatting xmlns:xm="http://schemas.microsoft.com/office/excel/2006/main">
          <x14:cfRule type="dataBar" id="{42AE3766-DAC7-41F8-880B-AD64D77AA8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J3:Q32</xm:sqref>
        </x14:conditionalFormatting>
        <x14:conditionalFormatting xmlns:xm="http://schemas.microsoft.com/office/excel/2006/main">
          <x14:cfRule type="dataBar" id="{46DE59C1-E579-4104-90E0-A2319AA27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D3:E15</xm:sqref>
        </x14:conditionalFormatting>
        <x14:conditionalFormatting xmlns:xm="http://schemas.microsoft.com/office/excel/2006/main">
          <x14:cfRule type="dataBar" id="{597360DB-11A3-4FB0-AE96-3B6E3F8E1D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G3:H15</xm:sqref>
        </x14:conditionalFormatting>
        <x14:conditionalFormatting xmlns:xm="http://schemas.microsoft.com/office/excel/2006/main">
          <x14:cfRule type="dataBar" id="{F78F0BB0-9BA8-45FF-AAF9-C3ADC9F3F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G20:H32</xm:sqref>
        </x14:conditionalFormatting>
        <x14:conditionalFormatting xmlns:xm="http://schemas.microsoft.com/office/excel/2006/main">
          <x14:cfRule type="dataBar" id="{A532F826-7795-42E0-A178-A94BCEE9C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M3:N15</xm:sqref>
        </x14:conditionalFormatting>
        <x14:conditionalFormatting xmlns:xm="http://schemas.microsoft.com/office/excel/2006/main">
          <x14:cfRule type="dataBar" id="{2E292AAF-DD5E-4D86-B7AA-780DA3E7D5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P3:Q15</xm:sqref>
        </x14:conditionalFormatting>
        <x14:conditionalFormatting xmlns:xm="http://schemas.microsoft.com/office/excel/2006/main">
          <x14:cfRule type="dataBar" id="{19182DDC-C071-4B66-93D4-C4A1B0463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M20:N33</xm:sqref>
        </x14:conditionalFormatting>
        <x14:conditionalFormatting xmlns:xm="http://schemas.microsoft.com/office/excel/2006/main">
          <x14:cfRule type="dataBar" id="{35839DBB-598E-46BE-9114-544A7B084F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P20:Q33</xm:sqref>
        </x14:conditionalFormatting>
        <x14:conditionalFormatting xmlns:xm="http://schemas.microsoft.com/office/excel/2006/main">
          <x14:cfRule type="dataBar" id="{5A52CDCD-F392-408F-B7A1-44AC6C19F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P3:Q16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topLeftCell="A34" workbookViewId="0">
      <selection activeCell="B43" sqref="B43:H50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19" max="19" width="12.28515625" customWidth="1"/>
  </cols>
  <sheetData>
    <row r="1" spans="2:33">
      <c r="B1" t="s">
        <v>365</v>
      </c>
      <c r="C1" s="74">
        <f>FCI!D44*G8*G9</f>
        <v>165.63618519901624</v>
      </c>
      <c r="D1" s="74"/>
      <c r="E1" s="74"/>
      <c r="F1" s="74"/>
      <c r="G1" s="74" t="s">
        <v>285</v>
      </c>
      <c r="H1" s="74"/>
      <c r="M1" s="80"/>
      <c r="N1" s="81" t="s">
        <v>374</v>
      </c>
      <c r="O1" s="81" t="s">
        <v>416</v>
      </c>
      <c r="P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149.0725666791146</v>
      </c>
      <c r="D2" s="74" t="s">
        <v>436</v>
      </c>
      <c r="E2" s="74">
        <v>90</v>
      </c>
      <c r="F2" t="s">
        <v>417</v>
      </c>
      <c r="G2" s="74">
        <v>25.7</v>
      </c>
      <c r="H2" s="74"/>
      <c r="M2" s="83">
        <v>2018</v>
      </c>
      <c r="N2" s="84">
        <f>E3</f>
        <v>82.81809259950812</v>
      </c>
      <c r="O2" s="84">
        <f>N2*$C$5/100</f>
        <v>7.8677187969532714</v>
      </c>
      <c r="P2" s="85">
        <f>N2+O2-$C$7</f>
        <v>77.495692500009923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82.81809259950812</v>
      </c>
      <c r="F3" t="s">
        <v>418</v>
      </c>
      <c r="G3" s="74">
        <v>0</v>
      </c>
      <c r="H3" s="74"/>
      <c r="M3" s="83" t="s">
        <v>376</v>
      </c>
      <c r="N3" s="84">
        <f>P2</f>
        <v>77.495692500009923</v>
      </c>
      <c r="O3" s="84">
        <f t="shared" ref="O3:O11" si="0">N3*$C$5/100</f>
        <v>7.3620907875009429</v>
      </c>
      <c r="P3" s="85">
        <f t="shared" ref="P3:P11" si="1">N3+O3-$C$7</f>
        <v>71.667664391059404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82.81809259950812</v>
      </c>
      <c r="F4" t="s">
        <v>422</v>
      </c>
      <c r="G4" s="74">
        <f>G3*G10/1000000</f>
        <v>0</v>
      </c>
      <c r="H4" s="74"/>
      <c r="M4" s="83" t="s">
        <v>377</v>
      </c>
      <c r="N4" s="84">
        <f t="shared" ref="N4:N11" si="2">P3</f>
        <v>71.667664391059404</v>
      </c>
      <c r="O4" s="84">
        <f t="shared" si="0"/>
        <v>6.808428117150644</v>
      </c>
      <c r="P4" s="85">
        <f t="shared" si="1"/>
        <v>65.285973611758578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524.4</v>
      </c>
      <c r="H5" s="74"/>
      <c r="M5" s="83" t="s">
        <v>378</v>
      </c>
      <c r="N5" s="84">
        <f t="shared" si="2"/>
        <v>65.285973611758578</v>
      </c>
      <c r="O5" s="84">
        <f t="shared" si="0"/>
        <v>6.2021674931170647</v>
      </c>
      <c r="P5" s="85">
        <f t="shared" si="1"/>
        <v>58.298022208424172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588</v>
      </c>
      <c r="H6" s="74"/>
      <c r="M6" s="83" t="s">
        <v>379</v>
      </c>
      <c r="N6" s="84">
        <f t="shared" si="2"/>
        <v>58.298022208424172</v>
      </c>
      <c r="O6" s="84">
        <f t="shared" si="0"/>
        <v>5.5383121098002963</v>
      </c>
      <c r="P6" s="85">
        <f t="shared" si="1"/>
        <v>50.646215421773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13.190118896451468</v>
      </c>
      <c r="D7" s="74"/>
      <c r="E7" s="74"/>
      <c r="F7" s="74" t="s">
        <v>429</v>
      </c>
      <c r="G7" s="74">
        <v>76.73</v>
      </c>
      <c r="H7" s="74"/>
      <c r="M7" s="83" t="s">
        <v>380</v>
      </c>
      <c r="N7" s="84">
        <f t="shared" si="2"/>
        <v>50.646215421773</v>
      </c>
      <c r="O7" s="84">
        <f t="shared" si="0"/>
        <v>4.8113904650684347</v>
      </c>
      <c r="P7" s="85">
        <f t="shared" si="1"/>
        <v>42.267486990389969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21.29608095415923</v>
      </c>
      <c r="D8" s="74"/>
      <c r="E8" s="74"/>
      <c r="F8" s="74" t="s">
        <v>279</v>
      </c>
      <c r="G8" s="74">
        <v>1</v>
      </c>
      <c r="H8" s="74"/>
      <c r="M8" s="83" t="s">
        <v>381</v>
      </c>
      <c r="N8" s="84">
        <f t="shared" si="2"/>
        <v>42.267486990389969</v>
      </c>
      <c r="O8" s="84">
        <f t="shared" si="0"/>
        <v>4.0154112640870467</v>
      </c>
      <c r="P8" s="85">
        <f t="shared" si="1"/>
        <v>33.092779358025552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f>'NG utility'!I1/1000*'NG utility'!I18*CashflowMeOH!G5/1000000</f>
        <v>94.415559673349208</v>
      </c>
      <c r="D9" s="74" t="s">
        <v>398</v>
      </c>
      <c r="E9" s="74">
        <v>3</v>
      </c>
      <c r="F9" s="74" t="s">
        <v>435</v>
      </c>
      <c r="G9" s="74">
        <v>1</v>
      </c>
      <c r="H9" s="74"/>
      <c r="M9" s="83" t="s">
        <v>382</v>
      </c>
      <c r="N9" s="84">
        <f t="shared" si="2"/>
        <v>33.092779358025552</v>
      </c>
      <c r="O9" s="84">
        <f t="shared" si="0"/>
        <v>3.1438140390124274</v>
      </c>
      <c r="P9" s="85">
        <f t="shared" si="1"/>
        <v>23.046474500586513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'Maintenance &amp; Operations cost'!I30/1000000*G8*G9+0.1155*CashflowMeOH!C9+G7*C14/1000/1000000</f>
        <v>65.089117491883485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71836.707727180401</v>
      </c>
      <c r="H10" s="74"/>
      <c r="M10" s="83" t="s">
        <v>383</v>
      </c>
      <c r="N10" s="84">
        <f t="shared" si="2"/>
        <v>23.046474500586513</v>
      </c>
      <c r="O10" s="84">
        <f t="shared" si="0"/>
        <v>2.1894150775557186</v>
      </c>
      <c r="P10" s="85">
        <f t="shared" si="1"/>
        <v>12.045770681690763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>
        <f>(0-AF41)*1000000/(G10*E6)</f>
        <v>-19.734348429816688</v>
      </c>
      <c r="H11" s="74"/>
      <c r="M11" s="83" t="s">
        <v>384</v>
      </c>
      <c r="N11" s="84">
        <f t="shared" si="2"/>
        <v>12.045770681690763</v>
      </c>
      <c r="O11" s="84">
        <f t="shared" si="0"/>
        <v>1.1443482147606225</v>
      </c>
      <c r="P11" s="85">
        <f t="shared" si="1"/>
        <v>-8.1712414612411521E-14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86"/>
      <c r="N12" s="87"/>
      <c r="O12" s="87"/>
      <c r="P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-13.190118896451468</v>
      </c>
      <c r="D17" s="84">
        <f>-$C$7</f>
        <v>-13.190118896451468</v>
      </c>
      <c r="E17" s="84">
        <f t="shared" ref="E17:L17" si="3">-$C$7</f>
        <v>-13.190118896451468</v>
      </c>
      <c r="F17" s="84">
        <f t="shared" si="3"/>
        <v>-13.190118896451468</v>
      </c>
      <c r="G17" s="84">
        <f t="shared" si="3"/>
        <v>-13.190118896451468</v>
      </c>
      <c r="H17" s="84">
        <f t="shared" si="3"/>
        <v>-13.190118896451468</v>
      </c>
      <c r="I17" s="84">
        <f t="shared" si="3"/>
        <v>-13.190118896451468</v>
      </c>
      <c r="J17" s="84">
        <f t="shared" si="3"/>
        <v>-13.190118896451468</v>
      </c>
      <c r="K17" s="84">
        <f t="shared" si="3"/>
        <v>-13.190118896451468</v>
      </c>
      <c r="L17" s="84">
        <f t="shared" si="3"/>
        <v>-13.190118896451468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94.415559673349208</v>
      </c>
      <c r="D18" s="84">
        <f>$C$9*(1+$E$9/100)^(D16-$C$16)</f>
        <v>97.248026463549692</v>
      </c>
      <c r="E18" s="84">
        <f t="shared" ref="E18:AF18" si="4">$C$9*(1+$E$9/100)^(E16-$C$16)</f>
        <v>100.16546725745617</v>
      </c>
      <c r="F18" s="84">
        <f t="shared" si="4"/>
        <v>103.17043127517987</v>
      </c>
      <c r="G18" s="84">
        <f t="shared" si="4"/>
        <v>106.26554421343525</v>
      </c>
      <c r="H18" s="84">
        <f t="shared" si="4"/>
        <v>109.45351053983831</v>
      </c>
      <c r="I18" s="84">
        <f t="shared" si="4"/>
        <v>112.73711585603345</v>
      </c>
      <c r="J18" s="84">
        <f t="shared" si="4"/>
        <v>116.11922933171446</v>
      </c>
      <c r="K18" s="84">
        <f t="shared" si="4"/>
        <v>119.60280621166588</v>
      </c>
      <c r="L18" s="84">
        <f t="shared" si="4"/>
        <v>123.19089039801587</v>
      </c>
      <c r="M18" s="84">
        <f t="shared" si="4"/>
        <v>126.88661710995635</v>
      </c>
      <c r="N18" s="84">
        <f t="shared" si="4"/>
        <v>130.69321562325504</v>
      </c>
      <c r="O18" s="84">
        <f t="shared" si="4"/>
        <v>134.61401209195267</v>
      </c>
      <c r="P18" s="84">
        <f t="shared" si="4"/>
        <v>138.65243245471123</v>
      </c>
      <c r="Q18" s="84">
        <f t="shared" si="4"/>
        <v>142.81200542835259</v>
      </c>
      <c r="R18" s="84">
        <f t="shared" si="4"/>
        <v>147.09636559120318</v>
      </c>
      <c r="S18" s="84">
        <f t="shared" si="4"/>
        <v>151.50925655893926</v>
      </c>
      <c r="T18" s="84">
        <f t="shared" si="4"/>
        <v>156.05453425570744</v>
      </c>
      <c r="U18" s="84">
        <f t="shared" si="4"/>
        <v>160.73617028337864</v>
      </c>
      <c r="V18" s="84">
        <f t="shared" si="4"/>
        <v>165.55825539188001</v>
      </c>
      <c r="W18" s="84">
        <f t="shared" si="4"/>
        <v>170.5250030536364</v>
      </c>
      <c r="X18" s="84">
        <f t="shared" si="4"/>
        <v>175.64075314524547</v>
      </c>
      <c r="Y18" s="84">
        <f t="shared" si="4"/>
        <v>180.90997573960286</v>
      </c>
      <c r="Z18" s="84">
        <f t="shared" si="4"/>
        <v>186.33727501179095</v>
      </c>
      <c r="AA18" s="84">
        <f t="shared" si="4"/>
        <v>191.92739326214465</v>
      </c>
      <c r="AB18" s="84">
        <f t="shared" si="4"/>
        <v>197.68521506000897</v>
      </c>
      <c r="AC18" s="84">
        <f t="shared" si="4"/>
        <v>203.61577151180927</v>
      </c>
      <c r="AD18" s="84">
        <f t="shared" si="4"/>
        <v>209.72424465716355</v>
      </c>
      <c r="AE18" s="84">
        <f t="shared" si="4"/>
        <v>216.01597199687845</v>
      </c>
      <c r="AF18" s="85">
        <f t="shared" si="4"/>
        <v>222.49645115678479</v>
      </c>
      <c r="AG18" s="74"/>
    </row>
    <row r="19" spans="2:33">
      <c r="B19" s="96" t="s">
        <v>413</v>
      </c>
      <c r="C19" s="84">
        <f>-C10</f>
        <v>-65.089117491883485</v>
      </c>
      <c r="D19" s="84">
        <f>-$C$10*(1+$E$10/100)^(D16-$C$16)</f>
        <v>-67.692682191558831</v>
      </c>
      <c r="E19" s="84">
        <f t="shared" ref="E19:AF19" si="5">-$C$10*(1+$E$10/100)^(E16-$C$16)</f>
        <v>-70.40038947922119</v>
      </c>
      <c r="F19" s="84">
        <f t="shared" si="5"/>
        <v>-73.216405058390023</v>
      </c>
      <c r="G19" s="84">
        <f t="shared" si="5"/>
        <v>-76.14506126072564</v>
      </c>
      <c r="H19" s="84">
        <f t="shared" si="5"/>
        <v>-79.190863711154677</v>
      </c>
      <c r="I19" s="84">
        <f t="shared" si="5"/>
        <v>-82.358498259600864</v>
      </c>
      <c r="J19" s="84">
        <f t="shared" si="5"/>
        <v>-85.652838189984891</v>
      </c>
      <c r="K19" s="84">
        <f t="shared" si="5"/>
        <v>-89.078951717584303</v>
      </c>
      <c r="L19" s="84">
        <f t="shared" si="5"/>
        <v>-92.642109786287676</v>
      </c>
      <c r="M19" s="84">
        <f t="shared" si="5"/>
        <v>-96.347794177739189</v>
      </c>
      <c r="N19" s="84">
        <f t="shared" si="5"/>
        <v>-100.20170594484874</v>
      </c>
      <c r="O19" s="84">
        <f t="shared" si="5"/>
        <v>-104.20977418264272</v>
      </c>
      <c r="P19" s="84">
        <f t="shared" si="5"/>
        <v>-108.37816514994843</v>
      </c>
      <c r="Q19" s="84">
        <f t="shared" si="5"/>
        <v>-112.71329175594636</v>
      </c>
      <c r="R19" s="84">
        <f t="shared" si="5"/>
        <v>-117.22182342618422</v>
      </c>
      <c r="S19" s="84">
        <f t="shared" si="5"/>
        <v>-121.91069636323161</v>
      </c>
      <c r="T19" s="84">
        <f t="shared" si="5"/>
        <v>-126.78712421776088</v>
      </c>
      <c r="U19" s="84">
        <f t="shared" si="5"/>
        <v>-131.85860918647131</v>
      </c>
      <c r="V19" s="84">
        <f t="shared" si="5"/>
        <v>-137.13295355393018</v>
      </c>
      <c r="W19" s="84">
        <f t="shared" si="5"/>
        <v>-142.61827169608739</v>
      </c>
      <c r="X19" s="84">
        <f t="shared" si="5"/>
        <v>-148.32300256393091</v>
      </c>
      <c r="Y19" s="84">
        <f t="shared" si="5"/>
        <v>-154.25592266648815</v>
      </c>
      <c r="Z19" s="84">
        <f t="shared" si="5"/>
        <v>-160.42615957314766</v>
      </c>
      <c r="AA19" s="84">
        <f t="shared" si="5"/>
        <v>-166.84320595607358</v>
      </c>
      <c r="AB19" s="84">
        <f t="shared" si="5"/>
        <v>-173.51693419431655</v>
      </c>
      <c r="AC19" s="84">
        <f t="shared" si="5"/>
        <v>-180.4576115620892</v>
      </c>
      <c r="AD19" s="84">
        <f t="shared" si="5"/>
        <v>-187.67591602457276</v>
      </c>
      <c r="AE19" s="84">
        <f t="shared" si="5"/>
        <v>-195.18295266555572</v>
      </c>
      <c r="AF19" s="85">
        <f t="shared" si="5"/>
        <v>-202.99027077217795</v>
      </c>
    </row>
    <row r="20" spans="2:33">
      <c r="B20" s="97" t="s">
        <v>415</v>
      </c>
      <c r="C20" s="84">
        <f>SUM(C17:C19)</f>
        <v>16.136323285014257</v>
      </c>
      <c r="D20" s="84">
        <f t="shared" ref="D20:AF20" si="6">SUM(D17:D19)</f>
        <v>16.365225375539396</v>
      </c>
      <c r="E20" s="84">
        <f t="shared" si="6"/>
        <v>16.574958881783516</v>
      </c>
      <c r="F20" s="84">
        <f t="shared" si="6"/>
        <v>16.763907320338376</v>
      </c>
      <c r="G20" s="84">
        <f t="shared" si="6"/>
        <v>16.930364056258142</v>
      </c>
      <c r="H20" s="84">
        <f t="shared" si="6"/>
        <v>17.072527932232163</v>
      </c>
      <c r="I20" s="84">
        <f t="shared" si="6"/>
        <v>17.188498699981125</v>
      </c>
      <c r="J20" s="84">
        <f t="shared" si="6"/>
        <v>17.276272245278108</v>
      </c>
      <c r="K20" s="84">
        <f t="shared" si="6"/>
        <v>17.33373559763011</v>
      </c>
      <c r="L20" s="84">
        <f t="shared" si="6"/>
        <v>17.358661715276725</v>
      </c>
      <c r="M20" s="84">
        <f t="shared" si="6"/>
        <v>30.538822932217158</v>
      </c>
      <c r="N20" s="84">
        <f t="shared" si="6"/>
        <v>30.491509678406302</v>
      </c>
      <c r="O20" s="84">
        <f t="shared" si="6"/>
        <v>30.404237909309956</v>
      </c>
      <c r="P20" s="84">
        <f t="shared" si="6"/>
        <v>30.274267304762802</v>
      </c>
      <c r="Q20" s="84">
        <f t="shared" si="6"/>
        <v>30.098713672406234</v>
      </c>
      <c r="R20" s="84">
        <f t="shared" si="6"/>
        <v>29.874542165018966</v>
      </c>
      <c r="S20" s="84">
        <f t="shared" si="6"/>
        <v>29.598560195707648</v>
      </c>
      <c r="T20" s="84">
        <f t="shared" si="6"/>
        <v>29.267410037946561</v>
      </c>
      <c r="U20" s="84">
        <f t="shared" si="6"/>
        <v>28.877561096907328</v>
      </c>
      <c r="V20" s="84">
        <f t="shared" si="6"/>
        <v>28.425301837949831</v>
      </c>
      <c r="W20" s="84">
        <f t="shared" si="6"/>
        <v>27.906731357549006</v>
      </c>
      <c r="X20" s="84">
        <f t="shared" si="6"/>
        <v>27.317750581314556</v>
      </c>
      <c r="Y20" s="84">
        <f t="shared" si="6"/>
        <v>26.65405307311471</v>
      </c>
      <c r="Z20" s="84">
        <f t="shared" si="6"/>
        <v>25.911115438643293</v>
      </c>
      <c r="AA20" s="84">
        <f t="shared" si="6"/>
        <v>25.084187306071072</v>
      </c>
      <c r="AB20" s="84">
        <f t="shared" si="6"/>
        <v>24.168280865692424</v>
      </c>
      <c r="AC20" s="84">
        <f t="shared" si="6"/>
        <v>23.158159949720073</v>
      </c>
      <c r="AD20" s="84">
        <f t="shared" si="6"/>
        <v>22.048328632590795</v>
      </c>
      <c r="AE20" s="84">
        <f t="shared" si="6"/>
        <v>20.833019331322731</v>
      </c>
      <c r="AF20" s="85">
        <f t="shared" si="6"/>
        <v>19.506180384606836</v>
      </c>
    </row>
    <row r="21" spans="2:33">
      <c r="B21" s="96" t="s">
        <v>423</v>
      </c>
      <c r="C21" s="84">
        <f>-$C$8</f>
        <v>-21.29608095415923</v>
      </c>
      <c r="D21" s="84">
        <f t="shared" ref="D21:I21" si="7">-$C$8</f>
        <v>-21.29608095415923</v>
      </c>
      <c r="E21" s="84">
        <f t="shared" si="7"/>
        <v>-21.29608095415923</v>
      </c>
      <c r="F21" s="84">
        <f t="shared" si="7"/>
        <v>-21.29608095415923</v>
      </c>
      <c r="G21" s="84">
        <f t="shared" si="7"/>
        <v>-21.29608095415923</v>
      </c>
      <c r="H21" s="84">
        <f t="shared" si="7"/>
        <v>-21.29608095415923</v>
      </c>
      <c r="I21" s="84">
        <f t="shared" si="7"/>
        <v>-21.29608095415923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82.81809259950812</v>
      </c>
      <c r="D22" s="99">
        <f>C22-C23-$C$7</f>
        <v>77.495692500009923</v>
      </c>
      <c r="E22" s="99">
        <f>D22-D23-$C$7</f>
        <v>71.667664391059404</v>
      </c>
      <c r="F22" s="99">
        <f t="shared" ref="F22:L22" si="8">E22-E23-$C$7</f>
        <v>65.285973611758578</v>
      </c>
      <c r="G22" s="99">
        <f t="shared" si="8"/>
        <v>58.298022208424172</v>
      </c>
      <c r="H22" s="99">
        <f>G22-G23-$C$7</f>
        <v>50.646215421773</v>
      </c>
      <c r="I22" s="99">
        <f t="shared" si="8"/>
        <v>42.267486990389969</v>
      </c>
      <c r="J22" s="99">
        <f t="shared" si="8"/>
        <v>33.092779358025552</v>
      </c>
      <c r="K22" s="99">
        <f t="shared" si="8"/>
        <v>23.046474500586513</v>
      </c>
      <c r="L22" s="99">
        <f t="shared" si="8"/>
        <v>12.045770681690763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-7.8677187969532714</v>
      </c>
      <c r="D23" s="84">
        <f t="shared" ref="D23:L23" si="9">-D22*$C$5/100</f>
        <v>-7.3620907875009429</v>
      </c>
      <c r="E23" s="84">
        <f t="shared" si="9"/>
        <v>-6.808428117150644</v>
      </c>
      <c r="F23" s="84">
        <f t="shared" si="9"/>
        <v>-6.2021674931170647</v>
      </c>
      <c r="G23" s="84">
        <f t="shared" si="9"/>
        <v>-5.5383121098002963</v>
      </c>
      <c r="H23" s="84">
        <f t="shared" si="9"/>
        <v>-4.8113904650684347</v>
      </c>
      <c r="I23" s="84">
        <f t="shared" si="9"/>
        <v>-4.0154112640870467</v>
      </c>
      <c r="J23" s="84">
        <f t="shared" si="9"/>
        <v>-3.1438140390124274</v>
      </c>
      <c r="K23" s="84">
        <f t="shared" si="9"/>
        <v>-2.1894150775557186</v>
      </c>
      <c r="L23" s="84">
        <f t="shared" si="9"/>
        <v>-1.1443482147606225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0">C18+C19+C21+C23</f>
        <v>0.16264243035322146</v>
      </c>
      <c r="D24" s="122">
        <f t="shared" si="10"/>
        <v>0.897172530330689</v>
      </c>
      <c r="E24" s="122">
        <f t="shared" si="10"/>
        <v>1.6605687069251083</v>
      </c>
      <c r="F24" s="122">
        <f t="shared" si="10"/>
        <v>2.4557777695135474</v>
      </c>
      <c r="G24" s="122">
        <f t="shared" si="10"/>
        <v>3.286089888750082</v>
      </c>
      <c r="H24" s="122">
        <f t="shared" si="10"/>
        <v>4.1551754094559641</v>
      </c>
      <c r="I24" s="122">
        <f t="shared" si="10"/>
        <v>5.0671253781863141</v>
      </c>
      <c r="J24" s="122">
        <f t="shared" si="10"/>
        <v>27.322577102717148</v>
      </c>
      <c r="K24" s="122">
        <f t="shared" si="10"/>
        <v>28.334439416525857</v>
      </c>
      <c r="L24" s="122">
        <f t="shared" si="10"/>
        <v>29.404432396967568</v>
      </c>
      <c r="M24" s="122">
        <f t="shared" si="10"/>
        <v>30.538822932217158</v>
      </c>
      <c r="N24" s="122">
        <f t="shared" si="10"/>
        <v>30.491509678406302</v>
      </c>
      <c r="O24" s="122">
        <f t="shared" si="10"/>
        <v>30.404237909309956</v>
      </c>
      <c r="P24" s="122">
        <f t="shared" si="10"/>
        <v>30.274267304762802</v>
      </c>
      <c r="Q24" s="122">
        <f t="shared" si="10"/>
        <v>30.098713672406234</v>
      </c>
      <c r="R24" s="122">
        <f t="shared" si="10"/>
        <v>29.874542165018966</v>
      </c>
      <c r="S24" s="122">
        <f t="shared" si="10"/>
        <v>29.598560195707648</v>
      </c>
      <c r="T24" s="122">
        <f t="shared" si="10"/>
        <v>29.267410037946561</v>
      </c>
      <c r="U24" s="122">
        <f t="shared" si="10"/>
        <v>28.877561096907328</v>
      </c>
      <c r="V24" s="122">
        <f t="shared" si="10"/>
        <v>28.425301837949831</v>
      </c>
      <c r="W24" s="122">
        <f t="shared" si="10"/>
        <v>27.906731357549006</v>
      </c>
      <c r="X24" s="122">
        <f t="shared" si="10"/>
        <v>27.317750581314556</v>
      </c>
      <c r="Y24" s="122">
        <f t="shared" si="10"/>
        <v>26.65405307311471</v>
      </c>
      <c r="Z24" s="122">
        <f t="shared" si="10"/>
        <v>25.911115438643293</v>
      </c>
      <c r="AA24" s="122">
        <f t="shared" si="10"/>
        <v>25.084187306071072</v>
      </c>
      <c r="AB24" s="122">
        <f t="shared" si="10"/>
        <v>24.168280865692424</v>
      </c>
      <c r="AC24" s="122">
        <f t="shared" si="10"/>
        <v>23.158159949720073</v>
      </c>
      <c r="AD24" s="122">
        <f t="shared" si="10"/>
        <v>22.048328632590795</v>
      </c>
      <c r="AE24" s="122">
        <f t="shared" si="10"/>
        <v>20.833019331322731</v>
      </c>
      <c r="AF24" s="129">
        <f t="shared" si="10"/>
        <v>19.506180384606836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0</v>
      </c>
      <c r="E26" s="84">
        <f t="shared" ref="E26:AF26" si="11">D30</f>
        <v>0</v>
      </c>
      <c r="F26" s="84">
        <f t="shared" si="11"/>
        <v>0</v>
      </c>
      <c r="G26" s="84">
        <f t="shared" si="11"/>
        <v>0</v>
      </c>
      <c r="H26" s="84">
        <f t="shared" si="11"/>
        <v>0</v>
      </c>
      <c r="I26" s="84">
        <f t="shared" si="11"/>
        <v>0</v>
      </c>
      <c r="J26" s="84">
        <f t="shared" si="11"/>
        <v>0</v>
      </c>
      <c r="K26" s="84">
        <f t="shared" si="11"/>
        <v>0</v>
      </c>
      <c r="L26" s="84">
        <f t="shared" si="11"/>
        <v>0</v>
      </c>
      <c r="M26" s="84">
        <f t="shared" si="11"/>
        <v>0</v>
      </c>
      <c r="N26" s="84">
        <f t="shared" si="11"/>
        <v>0</v>
      </c>
      <c r="O26" s="84">
        <f t="shared" si="11"/>
        <v>0</v>
      </c>
      <c r="P26" s="84">
        <f t="shared" si="11"/>
        <v>0</v>
      </c>
      <c r="Q26" s="84">
        <f t="shared" si="11"/>
        <v>0</v>
      </c>
      <c r="R26" s="84">
        <f t="shared" si="11"/>
        <v>0</v>
      </c>
      <c r="S26" s="84">
        <f t="shared" si="11"/>
        <v>0</v>
      </c>
      <c r="T26" s="84">
        <f t="shared" si="11"/>
        <v>0</v>
      </c>
      <c r="U26" s="84">
        <f t="shared" si="11"/>
        <v>0</v>
      </c>
      <c r="V26" s="84">
        <f t="shared" si="11"/>
        <v>0</v>
      </c>
      <c r="W26" s="84">
        <f t="shared" si="11"/>
        <v>0</v>
      </c>
      <c r="X26" s="84">
        <f t="shared" si="11"/>
        <v>0</v>
      </c>
      <c r="Y26" s="84">
        <f t="shared" si="11"/>
        <v>0</v>
      </c>
      <c r="Z26" s="84">
        <f t="shared" si="11"/>
        <v>0</v>
      </c>
      <c r="AA26" s="84">
        <f t="shared" si="11"/>
        <v>0</v>
      </c>
      <c r="AB26" s="84">
        <f t="shared" si="11"/>
        <v>0</v>
      </c>
      <c r="AC26" s="84">
        <f t="shared" si="11"/>
        <v>0</v>
      </c>
      <c r="AD26" s="84">
        <f t="shared" si="11"/>
        <v>0</v>
      </c>
      <c r="AE26" s="84">
        <f t="shared" si="11"/>
        <v>0</v>
      </c>
      <c r="AF26" s="85">
        <f t="shared" si="11"/>
        <v>0</v>
      </c>
    </row>
    <row r="27" spans="2:33">
      <c r="B27" s="125" t="s">
        <v>455</v>
      </c>
      <c r="C27" s="122">
        <f>IF(C24&lt;0,C24,IF(C24&gt;0,0))</f>
        <v>0</v>
      </c>
      <c r="D27" s="122">
        <f t="shared" ref="D27:AF27" si="12">IF(D24&lt;0,D24,IF(D24&gt;0,0))</f>
        <v>0</v>
      </c>
      <c r="E27" s="122">
        <f t="shared" si="12"/>
        <v>0</v>
      </c>
      <c r="F27" s="122">
        <f t="shared" si="12"/>
        <v>0</v>
      </c>
      <c r="G27" s="122">
        <f t="shared" si="12"/>
        <v>0</v>
      </c>
      <c r="H27" s="122">
        <f t="shared" si="12"/>
        <v>0</v>
      </c>
      <c r="I27" s="122">
        <f t="shared" si="12"/>
        <v>0</v>
      </c>
      <c r="J27" s="122">
        <f t="shared" si="12"/>
        <v>0</v>
      </c>
      <c r="K27" s="122">
        <f t="shared" si="12"/>
        <v>0</v>
      </c>
      <c r="L27" s="122">
        <f t="shared" si="12"/>
        <v>0</v>
      </c>
      <c r="M27" s="122">
        <f t="shared" si="12"/>
        <v>0</v>
      </c>
      <c r="N27" s="122">
        <f t="shared" si="12"/>
        <v>0</v>
      </c>
      <c r="O27" s="122">
        <f t="shared" si="12"/>
        <v>0</v>
      </c>
      <c r="P27" s="122">
        <f t="shared" si="12"/>
        <v>0</v>
      </c>
      <c r="Q27" s="122">
        <f t="shared" si="12"/>
        <v>0</v>
      </c>
      <c r="R27" s="122">
        <f t="shared" si="12"/>
        <v>0</v>
      </c>
      <c r="S27" s="122">
        <f t="shared" si="12"/>
        <v>0</v>
      </c>
      <c r="T27" s="122">
        <f t="shared" si="12"/>
        <v>0</v>
      </c>
      <c r="U27" s="122">
        <f t="shared" si="12"/>
        <v>0</v>
      </c>
      <c r="V27" s="122">
        <f t="shared" si="12"/>
        <v>0</v>
      </c>
      <c r="W27" s="122">
        <f t="shared" si="12"/>
        <v>0</v>
      </c>
      <c r="X27" s="122">
        <f t="shared" si="12"/>
        <v>0</v>
      </c>
      <c r="Y27" s="122">
        <f t="shared" si="12"/>
        <v>0</v>
      </c>
      <c r="Z27" s="122">
        <f t="shared" si="12"/>
        <v>0</v>
      </c>
      <c r="AA27" s="122">
        <f t="shared" si="12"/>
        <v>0</v>
      </c>
      <c r="AB27" s="122">
        <f t="shared" si="12"/>
        <v>0</v>
      </c>
      <c r="AC27" s="122">
        <f t="shared" si="12"/>
        <v>0</v>
      </c>
      <c r="AD27" s="122">
        <f t="shared" si="12"/>
        <v>0</v>
      </c>
      <c r="AE27" s="122">
        <f t="shared" si="12"/>
        <v>0</v>
      </c>
      <c r="AF27" s="129">
        <f t="shared" si="12"/>
        <v>0</v>
      </c>
    </row>
    <row r="28" spans="2:33">
      <c r="B28" s="124" t="s">
        <v>456</v>
      </c>
      <c r="C28" s="84">
        <f>C26+C27</f>
        <v>0</v>
      </c>
      <c r="D28" s="84">
        <f t="shared" ref="D28:AF28" si="13">D26+D27</f>
        <v>0</v>
      </c>
      <c r="E28" s="84">
        <f t="shared" si="13"/>
        <v>0</v>
      </c>
      <c r="F28" s="84">
        <f t="shared" si="13"/>
        <v>0</v>
      </c>
      <c r="G28" s="84">
        <f t="shared" si="13"/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f t="shared" si="13"/>
        <v>0</v>
      </c>
      <c r="L28" s="84">
        <f t="shared" si="13"/>
        <v>0</v>
      </c>
      <c r="M28" s="84">
        <f t="shared" si="13"/>
        <v>0</v>
      </c>
      <c r="N28" s="84">
        <f t="shared" si="13"/>
        <v>0</v>
      </c>
      <c r="O28" s="84">
        <f t="shared" si="13"/>
        <v>0</v>
      </c>
      <c r="P28" s="84">
        <f t="shared" si="13"/>
        <v>0</v>
      </c>
      <c r="Q28" s="84">
        <f t="shared" si="13"/>
        <v>0</v>
      </c>
      <c r="R28" s="84">
        <f t="shared" si="13"/>
        <v>0</v>
      </c>
      <c r="S28" s="84">
        <f t="shared" si="13"/>
        <v>0</v>
      </c>
      <c r="T28" s="84">
        <f t="shared" si="13"/>
        <v>0</v>
      </c>
      <c r="U28" s="84">
        <f t="shared" si="13"/>
        <v>0</v>
      </c>
      <c r="V28" s="84">
        <f t="shared" si="13"/>
        <v>0</v>
      </c>
      <c r="W28" s="84">
        <f t="shared" si="13"/>
        <v>0</v>
      </c>
      <c r="X28" s="84">
        <f t="shared" si="13"/>
        <v>0</v>
      </c>
      <c r="Y28" s="84">
        <f t="shared" si="13"/>
        <v>0</v>
      </c>
      <c r="Z28" s="84">
        <f t="shared" si="13"/>
        <v>0</v>
      </c>
      <c r="AA28" s="84">
        <f t="shared" si="13"/>
        <v>0</v>
      </c>
      <c r="AB28" s="84">
        <f t="shared" si="13"/>
        <v>0</v>
      </c>
      <c r="AC28" s="84">
        <f t="shared" si="13"/>
        <v>0</v>
      </c>
      <c r="AD28" s="84">
        <f t="shared" si="13"/>
        <v>0</v>
      </c>
      <c r="AE28" s="84">
        <f t="shared" si="13"/>
        <v>0</v>
      </c>
      <c r="AF28" s="85">
        <f t="shared" si="13"/>
        <v>0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4">IF(D24&lt;0,0,IF(D24+D28&lt;0,D24,IF(D24+D28&gt;0,-D28)))</f>
        <v>0</v>
      </c>
      <c r="E29" s="122">
        <f t="shared" si="14"/>
        <v>0</v>
      </c>
      <c r="F29" s="122">
        <f t="shared" si="14"/>
        <v>0</v>
      </c>
      <c r="G29" s="122">
        <f t="shared" si="14"/>
        <v>0</v>
      </c>
      <c r="H29" s="122">
        <f t="shared" si="14"/>
        <v>0</v>
      </c>
      <c r="I29" s="122">
        <f t="shared" si="14"/>
        <v>0</v>
      </c>
      <c r="J29" s="122">
        <f t="shared" si="14"/>
        <v>0</v>
      </c>
      <c r="K29" s="122">
        <f t="shared" si="14"/>
        <v>0</v>
      </c>
      <c r="L29" s="122">
        <f t="shared" si="14"/>
        <v>0</v>
      </c>
      <c r="M29" s="122">
        <f t="shared" si="14"/>
        <v>0</v>
      </c>
      <c r="N29" s="122">
        <f t="shared" si="14"/>
        <v>0</v>
      </c>
      <c r="O29" s="122">
        <f t="shared" si="14"/>
        <v>0</v>
      </c>
      <c r="P29" s="122">
        <f t="shared" si="14"/>
        <v>0</v>
      </c>
      <c r="Q29" s="122">
        <f t="shared" si="14"/>
        <v>0</v>
      </c>
      <c r="R29" s="122">
        <f t="shared" si="14"/>
        <v>0</v>
      </c>
      <c r="S29" s="122">
        <f t="shared" si="14"/>
        <v>0</v>
      </c>
      <c r="T29" s="122">
        <f t="shared" si="14"/>
        <v>0</v>
      </c>
      <c r="U29" s="122">
        <f t="shared" si="14"/>
        <v>0</v>
      </c>
      <c r="V29" s="122">
        <f t="shared" si="14"/>
        <v>0</v>
      </c>
      <c r="W29" s="122">
        <f t="shared" si="14"/>
        <v>0</v>
      </c>
      <c r="X29" s="122">
        <f t="shared" si="14"/>
        <v>0</v>
      </c>
      <c r="Y29" s="122">
        <f t="shared" si="14"/>
        <v>0</v>
      </c>
      <c r="Z29" s="122">
        <f t="shared" si="14"/>
        <v>0</v>
      </c>
      <c r="AA29" s="122">
        <f t="shared" si="14"/>
        <v>0</v>
      </c>
      <c r="AB29" s="122">
        <f t="shared" si="14"/>
        <v>0</v>
      </c>
      <c r="AC29" s="122">
        <f t="shared" si="14"/>
        <v>0</v>
      </c>
      <c r="AD29" s="122">
        <f t="shared" si="14"/>
        <v>0</v>
      </c>
      <c r="AE29" s="122">
        <f t="shared" si="14"/>
        <v>0</v>
      </c>
      <c r="AF29" s="129">
        <f t="shared" si="14"/>
        <v>0</v>
      </c>
    </row>
    <row r="30" spans="2:33">
      <c r="B30" s="126" t="s">
        <v>458</v>
      </c>
      <c r="C30" s="127">
        <f>C28+C29</f>
        <v>0</v>
      </c>
      <c r="D30" s="127">
        <f t="shared" ref="D30:AF30" si="15">D28+D29</f>
        <v>0</v>
      </c>
      <c r="E30" s="127">
        <f t="shared" si="15"/>
        <v>0</v>
      </c>
      <c r="F30" s="127">
        <f t="shared" si="15"/>
        <v>0</v>
      </c>
      <c r="G30" s="127">
        <f t="shared" si="15"/>
        <v>0</v>
      </c>
      <c r="H30" s="127">
        <f t="shared" si="15"/>
        <v>0</v>
      </c>
      <c r="I30" s="127">
        <f t="shared" si="15"/>
        <v>0</v>
      </c>
      <c r="J30" s="127">
        <f t="shared" si="15"/>
        <v>0</v>
      </c>
      <c r="K30" s="127">
        <f t="shared" si="15"/>
        <v>0</v>
      </c>
      <c r="L30" s="127">
        <f t="shared" si="15"/>
        <v>0</v>
      </c>
      <c r="M30" s="127">
        <f t="shared" si="15"/>
        <v>0</v>
      </c>
      <c r="N30" s="127">
        <f t="shared" si="15"/>
        <v>0</v>
      </c>
      <c r="O30" s="127">
        <f t="shared" si="15"/>
        <v>0</v>
      </c>
      <c r="P30" s="127">
        <f t="shared" si="15"/>
        <v>0</v>
      </c>
      <c r="Q30" s="127">
        <f t="shared" si="15"/>
        <v>0</v>
      </c>
      <c r="R30" s="127">
        <f t="shared" si="15"/>
        <v>0</v>
      </c>
      <c r="S30" s="127">
        <f t="shared" si="15"/>
        <v>0</v>
      </c>
      <c r="T30" s="127">
        <f t="shared" si="15"/>
        <v>0</v>
      </c>
      <c r="U30" s="127">
        <f t="shared" si="15"/>
        <v>0</v>
      </c>
      <c r="V30" s="127">
        <f t="shared" si="15"/>
        <v>0</v>
      </c>
      <c r="W30" s="127">
        <f t="shared" si="15"/>
        <v>0</v>
      </c>
      <c r="X30" s="127">
        <f t="shared" si="15"/>
        <v>0</v>
      </c>
      <c r="Y30" s="127">
        <f t="shared" si="15"/>
        <v>0</v>
      </c>
      <c r="Z30" s="127">
        <f t="shared" si="15"/>
        <v>0</v>
      </c>
      <c r="AA30" s="127">
        <f t="shared" si="15"/>
        <v>0</v>
      </c>
      <c r="AB30" s="127">
        <f t="shared" si="15"/>
        <v>0</v>
      </c>
      <c r="AC30" s="127">
        <f t="shared" si="15"/>
        <v>0</v>
      </c>
      <c r="AD30" s="127">
        <f t="shared" si="15"/>
        <v>0</v>
      </c>
      <c r="AE30" s="127">
        <f t="shared" si="15"/>
        <v>0</v>
      </c>
      <c r="AF30" s="130">
        <f t="shared" si="15"/>
        <v>0</v>
      </c>
    </row>
    <row r="31" spans="2:33">
      <c r="B31" s="96" t="s">
        <v>427</v>
      </c>
      <c r="C31" s="84">
        <f>IF(C24&lt;0,0,IF(C24&gt;0,-(C24-C29)*$G$2/100))</f>
        <v>-4.1799104600777917E-2</v>
      </c>
      <c r="D31" s="84">
        <f t="shared" ref="D31:AF31" si="16">IF(D24&lt;0,0,IF(D24&gt;0,-(D24-D29)*$G$2/100))</f>
        <v>-0.23057334029498708</v>
      </c>
      <c r="E31" s="84">
        <f t="shared" si="16"/>
        <v>-0.42676615767975279</v>
      </c>
      <c r="F31" s="84">
        <f t="shared" si="16"/>
        <v>-0.63113488676498164</v>
      </c>
      <c r="G31" s="84">
        <f t="shared" si="16"/>
        <v>-0.84452510140877113</v>
      </c>
      <c r="H31" s="84">
        <f t="shared" si="16"/>
        <v>-1.0678800802301829</v>
      </c>
      <c r="I31" s="84">
        <f t="shared" si="16"/>
        <v>-1.3022512221938829</v>
      </c>
      <c r="J31" s="84">
        <f t="shared" si="16"/>
        <v>-7.0219023153983064</v>
      </c>
      <c r="K31" s="84">
        <f t="shared" si="16"/>
        <v>-7.2819509300471452</v>
      </c>
      <c r="L31" s="84">
        <f t="shared" si="16"/>
        <v>-7.5569391260206649</v>
      </c>
      <c r="M31" s="84">
        <f t="shared" si="16"/>
        <v>-7.8484774935798098</v>
      </c>
      <c r="N31" s="84">
        <f t="shared" si="16"/>
        <v>-7.8363179873504194</v>
      </c>
      <c r="O31" s="84">
        <f t="shared" si="16"/>
        <v>-7.8138891426926582</v>
      </c>
      <c r="P31" s="84">
        <f t="shared" si="16"/>
        <v>-7.7804866973240392</v>
      </c>
      <c r="Q31" s="84">
        <f t="shared" si="16"/>
        <v>-7.7353694138084022</v>
      </c>
      <c r="R31" s="84">
        <f t="shared" si="16"/>
        <v>-7.6777573364098739</v>
      </c>
      <c r="S31" s="84">
        <f t="shared" si="16"/>
        <v>-7.6068299702968663</v>
      </c>
      <c r="T31" s="84">
        <f t="shared" si="16"/>
        <v>-7.5217243797522659</v>
      </c>
      <c r="U31" s="84">
        <f t="shared" si="16"/>
        <v>-7.4215332019051834</v>
      </c>
      <c r="V31" s="84">
        <f t="shared" si="16"/>
        <v>-7.3053025723531064</v>
      </c>
      <c r="W31" s="84">
        <f t="shared" si="16"/>
        <v>-7.1720299588900946</v>
      </c>
      <c r="X31" s="84">
        <f t="shared" si="16"/>
        <v>-7.0206618993978402</v>
      </c>
      <c r="Y31" s="84">
        <f t="shared" si="16"/>
        <v>-6.8500916397904801</v>
      </c>
      <c r="Z31" s="84">
        <f t="shared" si="16"/>
        <v>-6.6591566677313256</v>
      </c>
      <c r="AA31" s="84">
        <f t="shared" si="16"/>
        <v>-6.4466361376602652</v>
      </c>
      <c r="AB31" s="84">
        <f t="shared" si="16"/>
        <v>-6.2112481824829526</v>
      </c>
      <c r="AC31" s="84">
        <f t="shared" si="16"/>
        <v>-5.9516471070780588</v>
      </c>
      <c r="AD31" s="84">
        <f t="shared" si="16"/>
        <v>-5.6664204585758338</v>
      </c>
      <c r="AE31" s="84">
        <f t="shared" si="16"/>
        <v>-5.354085968149942</v>
      </c>
      <c r="AF31" s="85">
        <f t="shared" si="16"/>
        <v>-5.0130883588439561</v>
      </c>
      <c r="AG31" s="101"/>
    </row>
    <row r="32" spans="2:33">
      <c r="B32" s="27" t="s">
        <v>428</v>
      </c>
      <c r="C32" s="84">
        <f t="shared" ref="C32:AF32" si="17">C20+C31</f>
        <v>16.09452418041348</v>
      </c>
      <c r="D32" s="84">
        <f t="shared" si="17"/>
        <v>16.134652035244407</v>
      </c>
      <c r="E32" s="84">
        <f t="shared" si="17"/>
        <v>16.148192724103762</v>
      </c>
      <c r="F32" s="84">
        <f t="shared" si="17"/>
        <v>16.132772433573393</v>
      </c>
      <c r="G32" s="84">
        <f t="shared" si="17"/>
        <v>16.085838954849372</v>
      </c>
      <c r="H32" s="84">
        <f t="shared" si="17"/>
        <v>16.00464785200198</v>
      </c>
      <c r="I32" s="84">
        <f t="shared" si="17"/>
        <v>15.886247477787242</v>
      </c>
      <c r="J32" s="84">
        <f t="shared" si="17"/>
        <v>10.2543699298798</v>
      </c>
      <c r="K32" s="84">
        <f t="shared" si="17"/>
        <v>10.051784667582965</v>
      </c>
      <c r="L32" s="84">
        <f t="shared" si="17"/>
        <v>9.8017225892560589</v>
      </c>
      <c r="M32" s="84">
        <f t="shared" si="17"/>
        <v>22.690345438637348</v>
      </c>
      <c r="N32" s="84">
        <f t="shared" si="17"/>
        <v>22.655191691055883</v>
      </c>
      <c r="O32" s="84">
        <f t="shared" si="17"/>
        <v>22.590348766617296</v>
      </c>
      <c r="P32" s="84">
        <f t="shared" si="17"/>
        <v>22.493780607438762</v>
      </c>
      <c r="Q32" s="84">
        <f t="shared" si="17"/>
        <v>22.363344258597831</v>
      </c>
      <c r="R32" s="84">
        <f t="shared" si="17"/>
        <v>22.19678482860909</v>
      </c>
      <c r="S32" s="84">
        <f t="shared" si="17"/>
        <v>21.991730225410784</v>
      </c>
      <c r="T32" s="84">
        <f t="shared" si="17"/>
        <v>21.745685658194297</v>
      </c>
      <c r="U32" s="84">
        <f t="shared" si="17"/>
        <v>21.456027895002144</v>
      </c>
      <c r="V32" s="84">
        <f t="shared" si="17"/>
        <v>21.119999265596725</v>
      </c>
      <c r="W32" s="84">
        <f t="shared" si="17"/>
        <v>20.734701398658913</v>
      </c>
      <c r="X32" s="84">
        <f t="shared" si="17"/>
        <v>20.297088681916716</v>
      </c>
      <c r="Y32" s="84">
        <f t="shared" si="17"/>
        <v>19.803961433324229</v>
      </c>
      <c r="Z32" s="84">
        <f t="shared" si="17"/>
        <v>19.251958770911969</v>
      </c>
      <c r="AA32" s="84">
        <f t="shared" si="17"/>
        <v>18.637551168410809</v>
      </c>
      <c r="AB32" s="84">
        <f t="shared" si="17"/>
        <v>17.957032683209469</v>
      </c>
      <c r="AC32" s="84">
        <f t="shared" si="17"/>
        <v>17.206512842642013</v>
      </c>
      <c r="AD32" s="84">
        <f t="shared" si="17"/>
        <v>16.38190817401496</v>
      </c>
      <c r="AE32" s="84">
        <f t="shared" si="17"/>
        <v>15.478933363172789</v>
      </c>
      <c r="AF32" s="85">
        <f t="shared" si="17"/>
        <v>14.493092025762881</v>
      </c>
    </row>
    <row r="33" spans="2:33">
      <c r="B33" s="27" t="s">
        <v>422</v>
      </c>
      <c r="C33" s="84">
        <f>G4</f>
        <v>0</v>
      </c>
      <c r="D33" s="84">
        <f t="shared" ref="D33:AF33" si="18">$G$4*(1+$E$9/100)^(D16-$C$16)</f>
        <v>0</v>
      </c>
      <c r="E33" s="84">
        <f t="shared" si="18"/>
        <v>0</v>
      </c>
      <c r="F33" s="84">
        <f t="shared" si="18"/>
        <v>0</v>
      </c>
      <c r="G33" s="84">
        <f t="shared" si="18"/>
        <v>0</v>
      </c>
      <c r="H33" s="84">
        <f t="shared" si="18"/>
        <v>0</v>
      </c>
      <c r="I33" s="84">
        <f t="shared" si="18"/>
        <v>0</v>
      </c>
      <c r="J33" s="84">
        <f t="shared" si="18"/>
        <v>0</v>
      </c>
      <c r="K33" s="84">
        <f t="shared" si="18"/>
        <v>0</v>
      </c>
      <c r="L33" s="84">
        <f t="shared" si="18"/>
        <v>0</v>
      </c>
      <c r="M33" s="84">
        <f t="shared" si="18"/>
        <v>0</v>
      </c>
      <c r="N33" s="84">
        <f t="shared" si="18"/>
        <v>0</v>
      </c>
      <c r="O33" s="84">
        <f t="shared" si="18"/>
        <v>0</v>
      </c>
      <c r="P33" s="84">
        <f t="shared" si="18"/>
        <v>0</v>
      </c>
      <c r="Q33" s="84">
        <f t="shared" si="18"/>
        <v>0</v>
      </c>
      <c r="R33" s="84">
        <f t="shared" si="18"/>
        <v>0</v>
      </c>
      <c r="S33" s="84">
        <f t="shared" si="18"/>
        <v>0</v>
      </c>
      <c r="T33" s="84">
        <f t="shared" si="18"/>
        <v>0</v>
      </c>
      <c r="U33" s="84">
        <f t="shared" si="18"/>
        <v>0</v>
      </c>
      <c r="V33" s="84">
        <f t="shared" si="18"/>
        <v>0</v>
      </c>
      <c r="W33" s="84">
        <f t="shared" si="18"/>
        <v>0</v>
      </c>
      <c r="X33" s="84">
        <f t="shared" si="18"/>
        <v>0</v>
      </c>
      <c r="Y33" s="84">
        <f t="shared" si="18"/>
        <v>0</v>
      </c>
      <c r="Z33" s="84">
        <f t="shared" si="18"/>
        <v>0</v>
      </c>
      <c r="AA33" s="84">
        <f t="shared" si="18"/>
        <v>0</v>
      </c>
      <c r="AB33" s="84">
        <f t="shared" si="18"/>
        <v>0</v>
      </c>
      <c r="AC33" s="84">
        <f t="shared" si="18"/>
        <v>0</v>
      </c>
      <c r="AD33" s="84">
        <f t="shared" si="18"/>
        <v>0</v>
      </c>
      <c r="AE33" s="84">
        <f t="shared" si="18"/>
        <v>0</v>
      </c>
      <c r="AF33" s="85">
        <f t="shared" si="18"/>
        <v>0</v>
      </c>
    </row>
    <row r="34" spans="2:33">
      <c r="B34" s="97" t="s">
        <v>430</v>
      </c>
      <c r="C34" s="84">
        <f>C32+C33</f>
        <v>16.09452418041348</v>
      </c>
      <c r="D34" s="84">
        <f t="shared" ref="D34:AF34" si="19">D32+D33</f>
        <v>16.134652035244407</v>
      </c>
      <c r="E34" s="84">
        <f>E32+E33</f>
        <v>16.148192724103762</v>
      </c>
      <c r="F34" s="84">
        <f t="shared" si="19"/>
        <v>16.132772433573393</v>
      </c>
      <c r="G34" s="84">
        <f t="shared" si="19"/>
        <v>16.085838954849372</v>
      </c>
      <c r="H34" s="84">
        <f t="shared" si="19"/>
        <v>16.00464785200198</v>
      </c>
      <c r="I34" s="84">
        <f t="shared" si="19"/>
        <v>15.886247477787242</v>
      </c>
      <c r="J34" s="84">
        <f t="shared" si="19"/>
        <v>10.2543699298798</v>
      </c>
      <c r="K34" s="84">
        <f t="shared" si="19"/>
        <v>10.051784667582965</v>
      </c>
      <c r="L34" s="84">
        <f t="shared" si="19"/>
        <v>9.8017225892560589</v>
      </c>
      <c r="M34" s="84">
        <f t="shared" si="19"/>
        <v>22.690345438637348</v>
      </c>
      <c r="N34" s="84">
        <f t="shared" si="19"/>
        <v>22.655191691055883</v>
      </c>
      <c r="O34" s="84">
        <f t="shared" si="19"/>
        <v>22.590348766617296</v>
      </c>
      <c r="P34" s="84">
        <f t="shared" si="19"/>
        <v>22.493780607438762</v>
      </c>
      <c r="Q34" s="84">
        <f t="shared" si="19"/>
        <v>22.363344258597831</v>
      </c>
      <c r="R34" s="84">
        <f t="shared" si="19"/>
        <v>22.19678482860909</v>
      </c>
      <c r="S34" s="84">
        <f t="shared" si="19"/>
        <v>21.991730225410784</v>
      </c>
      <c r="T34" s="84">
        <f t="shared" si="19"/>
        <v>21.745685658194297</v>
      </c>
      <c r="U34" s="84">
        <f t="shared" si="19"/>
        <v>21.456027895002144</v>
      </c>
      <c r="V34" s="84">
        <f t="shared" si="19"/>
        <v>21.119999265596725</v>
      </c>
      <c r="W34" s="84">
        <f t="shared" si="19"/>
        <v>20.734701398658913</v>
      </c>
      <c r="X34" s="84">
        <f t="shared" si="19"/>
        <v>20.297088681916716</v>
      </c>
      <c r="Y34" s="84">
        <f t="shared" si="19"/>
        <v>19.803961433324229</v>
      </c>
      <c r="Z34" s="84">
        <f t="shared" si="19"/>
        <v>19.251958770911969</v>
      </c>
      <c r="AA34" s="84">
        <f t="shared" si="19"/>
        <v>18.637551168410809</v>
      </c>
      <c r="AB34" s="84">
        <f t="shared" si="19"/>
        <v>17.957032683209469</v>
      </c>
      <c r="AC34" s="84">
        <f t="shared" si="19"/>
        <v>17.206512842642013</v>
      </c>
      <c r="AD34" s="84">
        <f t="shared" si="19"/>
        <v>16.38190817401496</v>
      </c>
      <c r="AE34" s="84">
        <f t="shared" si="19"/>
        <v>15.478933363172789</v>
      </c>
      <c r="AF34" s="85">
        <f t="shared" si="19"/>
        <v>14.493092025762881</v>
      </c>
    </row>
    <row r="35" spans="2:33">
      <c r="B35" s="27" t="s">
        <v>431</v>
      </c>
      <c r="C35" s="84">
        <f>C34-E4</f>
        <v>-66.723568419094647</v>
      </c>
      <c r="D35" s="84">
        <f>D34</f>
        <v>16.134652035244407</v>
      </c>
      <c r="E35" s="84">
        <f>E34</f>
        <v>16.148192724103762</v>
      </c>
      <c r="F35" s="84">
        <f t="shared" ref="F35:AF35" si="20">F34</f>
        <v>16.132772433573393</v>
      </c>
      <c r="G35" s="84">
        <f t="shared" si="20"/>
        <v>16.085838954849372</v>
      </c>
      <c r="H35" s="84">
        <f t="shared" si="20"/>
        <v>16.00464785200198</v>
      </c>
      <c r="I35" s="84">
        <f t="shared" si="20"/>
        <v>15.886247477787242</v>
      </c>
      <c r="J35" s="84">
        <f t="shared" si="20"/>
        <v>10.2543699298798</v>
      </c>
      <c r="K35" s="84">
        <f t="shared" si="20"/>
        <v>10.051784667582965</v>
      </c>
      <c r="L35" s="84">
        <f t="shared" si="20"/>
        <v>9.8017225892560589</v>
      </c>
      <c r="M35" s="84">
        <f t="shared" si="20"/>
        <v>22.690345438637348</v>
      </c>
      <c r="N35" s="84">
        <f t="shared" si="20"/>
        <v>22.655191691055883</v>
      </c>
      <c r="O35" s="84">
        <f t="shared" si="20"/>
        <v>22.590348766617296</v>
      </c>
      <c r="P35" s="84">
        <f t="shared" si="20"/>
        <v>22.493780607438762</v>
      </c>
      <c r="Q35" s="84">
        <f t="shared" si="20"/>
        <v>22.363344258597831</v>
      </c>
      <c r="R35" s="84">
        <f t="shared" si="20"/>
        <v>22.19678482860909</v>
      </c>
      <c r="S35" s="84">
        <f t="shared" si="20"/>
        <v>21.991730225410784</v>
      </c>
      <c r="T35" s="84">
        <f t="shared" si="20"/>
        <v>21.745685658194297</v>
      </c>
      <c r="U35" s="84">
        <f t="shared" si="20"/>
        <v>21.456027895002144</v>
      </c>
      <c r="V35" s="84">
        <f t="shared" si="20"/>
        <v>21.119999265596725</v>
      </c>
      <c r="W35" s="84">
        <f t="shared" si="20"/>
        <v>20.734701398658913</v>
      </c>
      <c r="X35" s="84">
        <f t="shared" si="20"/>
        <v>20.297088681916716</v>
      </c>
      <c r="Y35" s="84">
        <f t="shared" si="20"/>
        <v>19.803961433324229</v>
      </c>
      <c r="Z35" s="84">
        <f t="shared" si="20"/>
        <v>19.251958770911969</v>
      </c>
      <c r="AA35" s="84">
        <f t="shared" si="20"/>
        <v>18.637551168410809</v>
      </c>
      <c r="AB35" s="84">
        <f t="shared" si="20"/>
        <v>17.957032683209469</v>
      </c>
      <c r="AC35" s="84">
        <f t="shared" si="20"/>
        <v>17.206512842642013</v>
      </c>
      <c r="AD35" s="84">
        <f t="shared" si="20"/>
        <v>16.38190817401496</v>
      </c>
      <c r="AE35" s="84">
        <f t="shared" si="20"/>
        <v>15.478933363172789</v>
      </c>
      <c r="AF35" s="85">
        <f t="shared" si="20"/>
        <v>14.493092025762881</v>
      </c>
      <c r="AG35" s="101"/>
    </row>
    <row r="36" spans="2:33">
      <c r="B36" s="27" t="s">
        <v>432</v>
      </c>
      <c r="C36" s="84">
        <f>C35</f>
        <v>-66.723568419094647</v>
      </c>
      <c r="D36" s="84">
        <f t="shared" ref="D36:AF36" si="21">D35/(1+$E$5/100)^(D16-$C$16)</f>
        <v>14.030132204560354</v>
      </c>
      <c r="E36" s="84">
        <f t="shared" si="21"/>
        <v>12.210353666619103</v>
      </c>
      <c r="F36" s="84">
        <f t="shared" si="21"/>
        <v>10.607559749205818</v>
      </c>
      <c r="G36" s="84">
        <f t="shared" si="21"/>
        <v>9.1971306305219755</v>
      </c>
      <c r="H36" s="84">
        <f t="shared" si="21"/>
        <v>7.9571385686571325</v>
      </c>
      <c r="I36" s="84">
        <f t="shared" si="21"/>
        <v>6.8680631801277858</v>
      </c>
      <c r="J36" s="84">
        <f t="shared" si="21"/>
        <v>3.8549974777153833</v>
      </c>
      <c r="K36" s="84">
        <f t="shared" si="21"/>
        <v>3.2859462381525808</v>
      </c>
      <c r="L36" s="84">
        <f t="shared" si="21"/>
        <v>2.7862613053703096</v>
      </c>
      <c r="M36" s="84">
        <f t="shared" si="21"/>
        <v>5.6087063690531922</v>
      </c>
      <c r="N36" s="84">
        <f t="shared" si="21"/>
        <v>4.8695799132940749</v>
      </c>
      <c r="O36" s="84">
        <f t="shared" si="21"/>
        <v>4.2222977096913068</v>
      </c>
      <c r="P36" s="84">
        <f t="shared" si="21"/>
        <v>3.6558682002264988</v>
      </c>
      <c r="Q36" s="84">
        <f t="shared" si="21"/>
        <v>3.1605814321496122</v>
      </c>
      <c r="R36" s="84">
        <f t="shared" si="21"/>
        <v>2.7278624447255373</v>
      </c>
      <c r="S36" s="84">
        <f t="shared" si="21"/>
        <v>2.3501411868056499</v>
      </c>
      <c r="T36" s="84">
        <f t="shared" si="21"/>
        <v>2.0207371224203086</v>
      </c>
      <c r="U36" s="84">
        <f t="shared" si="21"/>
        <v>1.7337568851533685</v>
      </c>
      <c r="V36" s="84">
        <f t="shared" si="21"/>
        <v>1.4840035233050743</v>
      </c>
      <c r="W36" s="84">
        <f t="shared" si="21"/>
        <v>1.2668960392071382</v>
      </c>
      <c r="X36" s="84">
        <f t="shared" si="21"/>
        <v>1.0783980696923972</v>
      </c>
      <c r="Y36" s="84">
        <f t="shared" si="21"/>
        <v>0.91495468257396462</v>
      </c>
      <c r="Z36" s="84">
        <f t="shared" si="21"/>
        <v>0.77343637777907537</v>
      </c>
      <c r="AA36" s="84">
        <f t="shared" si="21"/>
        <v>0.65108948304714975</v>
      </c>
      <c r="AB36" s="84">
        <f t="shared" si="21"/>
        <v>0.54549222420929622</v>
      </c>
      <c r="AC36" s="84">
        <f t="shared" si="21"/>
        <v>0.45451583023827996</v>
      </c>
      <c r="AD36" s="84">
        <f t="shared" si="21"/>
        <v>0.37629010458164591</v>
      </c>
      <c r="AE36" s="84">
        <f t="shared" si="21"/>
        <v>0.30917295773562276</v>
      </c>
      <c r="AF36" s="85">
        <f t="shared" si="21"/>
        <v>0.25172345244747946</v>
      </c>
      <c r="AG36" s="101"/>
    </row>
    <row r="37" spans="2:33" ht="15.75" thickBot="1">
      <c r="B37" s="29" t="s">
        <v>433</v>
      </c>
      <c r="C37" s="87">
        <f>C36</f>
        <v>-66.723568419094647</v>
      </c>
      <c r="D37" s="87">
        <f>C37+D36</f>
        <v>-52.693436214534294</v>
      </c>
      <c r="E37" s="87">
        <f t="shared" ref="E37:AF37" si="22">D37+E36</f>
        <v>-40.483082547915188</v>
      </c>
      <c r="F37" s="87">
        <f t="shared" si="22"/>
        <v>-29.875522798709369</v>
      </c>
      <c r="G37" s="87">
        <f t="shared" si="22"/>
        <v>-20.678392168187393</v>
      </c>
      <c r="H37" s="87">
        <f t="shared" si="22"/>
        <v>-12.721253599530261</v>
      </c>
      <c r="I37" s="87">
        <f t="shared" si="22"/>
        <v>-5.8531904194024751</v>
      </c>
      <c r="J37" s="87">
        <f t="shared" si="22"/>
        <v>-1.9981929416870918</v>
      </c>
      <c r="K37" s="87">
        <f t="shared" si="22"/>
        <v>1.287753296465489</v>
      </c>
      <c r="L37" s="87">
        <f t="shared" si="22"/>
        <v>4.074014601835799</v>
      </c>
      <c r="M37" s="87">
        <f t="shared" si="22"/>
        <v>9.6827209708889903</v>
      </c>
      <c r="N37" s="87">
        <f t="shared" si="22"/>
        <v>14.552300884183065</v>
      </c>
      <c r="O37" s="87">
        <f t="shared" si="22"/>
        <v>18.774598593874373</v>
      </c>
      <c r="P37" s="87">
        <f t="shared" si="22"/>
        <v>22.430466794100873</v>
      </c>
      <c r="Q37" s="87">
        <f t="shared" si="22"/>
        <v>25.591048226250486</v>
      </c>
      <c r="R37" s="87">
        <f t="shared" si="22"/>
        <v>28.318910670976024</v>
      </c>
      <c r="S37" s="87">
        <f t="shared" si="22"/>
        <v>30.669051857781675</v>
      </c>
      <c r="T37" s="87">
        <f t="shared" si="22"/>
        <v>32.689788980201982</v>
      </c>
      <c r="U37" s="87">
        <f t="shared" si="22"/>
        <v>34.423545865355351</v>
      </c>
      <c r="V37" s="87">
        <f t="shared" si="22"/>
        <v>35.907549388660428</v>
      </c>
      <c r="W37" s="87">
        <f t="shared" si="22"/>
        <v>37.174445427867568</v>
      </c>
      <c r="X37" s="87">
        <f t="shared" si="22"/>
        <v>38.252843497559965</v>
      </c>
      <c r="Y37" s="87">
        <f t="shared" si="22"/>
        <v>39.167798180133929</v>
      </c>
      <c r="Z37" s="87">
        <f t="shared" si="22"/>
        <v>39.941234557913006</v>
      </c>
      <c r="AA37" s="87">
        <f t="shared" si="22"/>
        <v>40.592324040960158</v>
      </c>
      <c r="AB37" s="87">
        <f t="shared" si="22"/>
        <v>41.137816265169455</v>
      </c>
      <c r="AC37" s="87">
        <f t="shared" si="22"/>
        <v>41.592332095407734</v>
      </c>
      <c r="AD37" s="87">
        <f t="shared" si="22"/>
        <v>41.968622199989383</v>
      </c>
      <c r="AE37" s="87">
        <f t="shared" si="22"/>
        <v>42.277795157725009</v>
      </c>
      <c r="AF37" s="88">
        <f t="shared" si="22"/>
        <v>42.529518610172488</v>
      </c>
    </row>
    <row r="38" spans="2:33">
      <c r="B38" s="131" t="s">
        <v>430</v>
      </c>
      <c r="C38" s="81">
        <f>C32</f>
        <v>16.09452418041348</v>
      </c>
      <c r="D38" s="81">
        <f t="shared" ref="D38:AF38" si="23">D32</f>
        <v>16.134652035244407</v>
      </c>
      <c r="E38" s="81">
        <f t="shared" si="23"/>
        <v>16.148192724103762</v>
      </c>
      <c r="F38" s="81">
        <f t="shared" si="23"/>
        <v>16.132772433573393</v>
      </c>
      <c r="G38" s="81">
        <f t="shared" si="23"/>
        <v>16.085838954849372</v>
      </c>
      <c r="H38" s="81">
        <f t="shared" si="23"/>
        <v>16.00464785200198</v>
      </c>
      <c r="I38" s="81">
        <f t="shared" si="23"/>
        <v>15.886247477787242</v>
      </c>
      <c r="J38" s="81">
        <f t="shared" si="23"/>
        <v>10.2543699298798</v>
      </c>
      <c r="K38" s="81">
        <f t="shared" si="23"/>
        <v>10.051784667582965</v>
      </c>
      <c r="L38" s="81">
        <f t="shared" si="23"/>
        <v>9.8017225892560589</v>
      </c>
      <c r="M38" s="81">
        <f t="shared" si="23"/>
        <v>22.690345438637348</v>
      </c>
      <c r="N38" s="81">
        <f t="shared" si="23"/>
        <v>22.655191691055883</v>
      </c>
      <c r="O38" s="81">
        <f t="shared" si="23"/>
        <v>22.590348766617296</v>
      </c>
      <c r="P38" s="81">
        <f t="shared" si="23"/>
        <v>22.493780607438762</v>
      </c>
      <c r="Q38" s="81">
        <f t="shared" si="23"/>
        <v>22.363344258597831</v>
      </c>
      <c r="R38" s="81">
        <f t="shared" si="23"/>
        <v>22.19678482860909</v>
      </c>
      <c r="S38" s="81">
        <f t="shared" si="23"/>
        <v>21.991730225410784</v>
      </c>
      <c r="T38" s="81">
        <f t="shared" si="23"/>
        <v>21.745685658194297</v>
      </c>
      <c r="U38" s="81">
        <f t="shared" si="23"/>
        <v>21.456027895002144</v>
      </c>
      <c r="V38" s="81">
        <f t="shared" si="23"/>
        <v>21.119999265596725</v>
      </c>
      <c r="W38" s="81">
        <f t="shared" si="23"/>
        <v>20.734701398658913</v>
      </c>
      <c r="X38" s="81">
        <f t="shared" si="23"/>
        <v>20.297088681916716</v>
      </c>
      <c r="Y38" s="81">
        <f t="shared" si="23"/>
        <v>19.803961433324229</v>
      </c>
      <c r="Z38" s="81">
        <f t="shared" si="23"/>
        <v>19.251958770911969</v>
      </c>
      <c r="AA38" s="81">
        <f t="shared" si="23"/>
        <v>18.637551168410809</v>
      </c>
      <c r="AB38" s="81">
        <f t="shared" si="23"/>
        <v>17.957032683209469</v>
      </c>
      <c r="AC38" s="81">
        <f t="shared" si="23"/>
        <v>17.206512842642013</v>
      </c>
      <c r="AD38" s="81">
        <f t="shared" si="23"/>
        <v>16.38190817401496</v>
      </c>
      <c r="AE38" s="81">
        <f t="shared" si="23"/>
        <v>15.478933363172789</v>
      </c>
      <c r="AF38" s="82">
        <f t="shared" si="23"/>
        <v>14.493092025762881</v>
      </c>
    </row>
    <row r="39" spans="2:33">
      <c r="B39" s="27" t="s">
        <v>431</v>
      </c>
      <c r="C39" s="84">
        <f>C38-E4</f>
        <v>-66.723568419094647</v>
      </c>
      <c r="D39" s="84">
        <f>D38</f>
        <v>16.134652035244407</v>
      </c>
      <c r="E39" s="84">
        <f t="shared" ref="E39:AF39" si="24">E38</f>
        <v>16.148192724103762</v>
      </c>
      <c r="F39" s="84">
        <f t="shared" si="24"/>
        <v>16.132772433573393</v>
      </c>
      <c r="G39" s="84">
        <f t="shared" si="24"/>
        <v>16.085838954849372</v>
      </c>
      <c r="H39" s="84">
        <f t="shared" si="24"/>
        <v>16.00464785200198</v>
      </c>
      <c r="I39" s="84">
        <f t="shared" si="24"/>
        <v>15.886247477787242</v>
      </c>
      <c r="J39" s="84">
        <f t="shared" si="24"/>
        <v>10.2543699298798</v>
      </c>
      <c r="K39" s="84">
        <f t="shared" si="24"/>
        <v>10.051784667582965</v>
      </c>
      <c r="L39" s="84">
        <f t="shared" si="24"/>
        <v>9.8017225892560589</v>
      </c>
      <c r="M39" s="84">
        <f t="shared" si="24"/>
        <v>22.690345438637348</v>
      </c>
      <c r="N39" s="84">
        <f t="shared" si="24"/>
        <v>22.655191691055883</v>
      </c>
      <c r="O39" s="84">
        <f t="shared" si="24"/>
        <v>22.590348766617296</v>
      </c>
      <c r="P39" s="84">
        <f t="shared" si="24"/>
        <v>22.493780607438762</v>
      </c>
      <c r="Q39" s="84">
        <f t="shared" si="24"/>
        <v>22.363344258597831</v>
      </c>
      <c r="R39" s="84">
        <f t="shared" si="24"/>
        <v>22.19678482860909</v>
      </c>
      <c r="S39" s="84">
        <f t="shared" si="24"/>
        <v>21.991730225410784</v>
      </c>
      <c r="T39" s="84">
        <f t="shared" si="24"/>
        <v>21.745685658194297</v>
      </c>
      <c r="U39" s="84">
        <f t="shared" si="24"/>
        <v>21.456027895002144</v>
      </c>
      <c r="V39" s="84">
        <f t="shared" si="24"/>
        <v>21.119999265596725</v>
      </c>
      <c r="W39" s="84">
        <f t="shared" si="24"/>
        <v>20.734701398658913</v>
      </c>
      <c r="X39" s="84">
        <f t="shared" si="24"/>
        <v>20.297088681916716</v>
      </c>
      <c r="Y39" s="84">
        <f t="shared" si="24"/>
        <v>19.803961433324229</v>
      </c>
      <c r="Z39" s="84">
        <f t="shared" si="24"/>
        <v>19.251958770911969</v>
      </c>
      <c r="AA39" s="84">
        <f t="shared" si="24"/>
        <v>18.637551168410809</v>
      </c>
      <c r="AB39" s="84">
        <f t="shared" si="24"/>
        <v>17.957032683209469</v>
      </c>
      <c r="AC39" s="84">
        <f t="shared" si="24"/>
        <v>17.206512842642013</v>
      </c>
      <c r="AD39" s="84">
        <f t="shared" si="24"/>
        <v>16.38190817401496</v>
      </c>
      <c r="AE39" s="84">
        <f t="shared" si="24"/>
        <v>15.478933363172789</v>
      </c>
      <c r="AF39" s="85">
        <f t="shared" si="24"/>
        <v>14.493092025762881</v>
      </c>
    </row>
    <row r="40" spans="2:33">
      <c r="B40" s="27" t="s">
        <v>432</v>
      </c>
      <c r="C40" s="84">
        <f>C39</f>
        <v>-66.723568419094647</v>
      </c>
      <c r="D40" s="84">
        <f>D39/(1+$E$5/100)^(D16-$C$16)</f>
        <v>14.030132204560354</v>
      </c>
      <c r="E40" s="84">
        <f t="shared" ref="E40:AF40" si="25">E39/(1+$E$5/100)^(E16-$C$16)</f>
        <v>12.210353666619103</v>
      </c>
      <c r="F40" s="84">
        <f t="shared" si="25"/>
        <v>10.607559749205818</v>
      </c>
      <c r="G40" s="84">
        <f t="shared" si="25"/>
        <v>9.1971306305219755</v>
      </c>
      <c r="H40" s="84">
        <f t="shared" si="25"/>
        <v>7.9571385686571325</v>
      </c>
      <c r="I40" s="84">
        <f t="shared" si="25"/>
        <v>6.8680631801277858</v>
      </c>
      <c r="J40" s="84">
        <f t="shared" si="25"/>
        <v>3.8549974777153833</v>
      </c>
      <c r="K40" s="84">
        <f t="shared" si="25"/>
        <v>3.2859462381525808</v>
      </c>
      <c r="L40" s="84">
        <f t="shared" si="25"/>
        <v>2.7862613053703096</v>
      </c>
      <c r="M40" s="84">
        <f t="shared" si="25"/>
        <v>5.6087063690531922</v>
      </c>
      <c r="N40" s="84">
        <f t="shared" si="25"/>
        <v>4.8695799132940749</v>
      </c>
      <c r="O40" s="84">
        <f t="shared" si="25"/>
        <v>4.2222977096913068</v>
      </c>
      <c r="P40" s="84">
        <f t="shared" si="25"/>
        <v>3.6558682002264988</v>
      </c>
      <c r="Q40" s="84">
        <f t="shared" si="25"/>
        <v>3.1605814321496122</v>
      </c>
      <c r="R40" s="84">
        <f t="shared" si="25"/>
        <v>2.7278624447255373</v>
      </c>
      <c r="S40" s="84">
        <f t="shared" si="25"/>
        <v>2.3501411868056499</v>
      </c>
      <c r="T40" s="84">
        <f t="shared" si="25"/>
        <v>2.0207371224203086</v>
      </c>
      <c r="U40" s="84">
        <f t="shared" si="25"/>
        <v>1.7337568851533685</v>
      </c>
      <c r="V40" s="84">
        <f t="shared" si="25"/>
        <v>1.4840035233050743</v>
      </c>
      <c r="W40" s="84">
        <f t="shared" si="25"/>
        <v>1.2668960392071382</v>
      </c>
      <c r="X40" s="84">
        <f t="shared" si="25"/>
        <v>1.0783980696923972</v>
      </c>
      <c r="Y40" s="84">
        <f t="shared" si="25"/>
        <v>0.91495468257396462</v>
      </c>
      <c r="Z40" s="84">
        <f t="shared" si="25"/>
        <v>0.77343637777907537</v>
      </c>
      <c r="AA40" s="84">
        <f t="shared" si="25"/>
        <v>0.65108948304714975</v>
      </c>
      <c r="AB40" s="84">
        <f t="shared" si="25"/>
        <v>0.54549222420929622</v>
      </c>
      <c r="AC40" s="84">
        <f t="shared" si="25"/>
        <v>0.45451583023827996</v>
      </c>
      <c r="AD40" s="84">
        <f t="shared" si="25"/>
        <v>0.37629010458164591</v>
      </c>
      <c r="AE40" s="84">
        <f t="shared" si="25"/>
        <v>0.30917295773562276</v>
      </c>
      <c r="AF40" s="85">
        <f t="shared" si="25"/>
        <v>0.25172345244747946</v>
      </c>
    </row>
    <row r="41" spans="2:33" ht="15.75" thickBot="1">
      <c r="B41" s="29" t="s">
        <v>433</v>
      </c>
      <c r="C41" s="87">
        <f>C40</f>
        <v>-66.723568419094647</v>
      </c>
      <c r="D41" s="87">
        <f>D40+C41</f>
        <v>-52.693436214534294</v>
      </c>
      <c r="E41" s="87">
        <f t="shared" ref="E41:AF41" si="26">E40+D41</f>
        <v>-40.483082547915188</v>
      </c>
      <c r="F41" s="87">
        <f t="shared" si="26"/>
        <v>-29.875522798709369</v>
      </c>
      <c r="G41" s="87">
        <f t="shared" si="26"/>
        <v>-20.678392168187393</v>
      </c>
      <c r="H41" s="87">
        <f t="shared" si="26"/>
        <v>-12.721253599530261</v>
      </c>
      <c r="I41" s="87">
        <f t="shared" si="26"/>
        <v>-5.8531904194024751</v>
      </c>
      <c r="J41" s="87">
        <f t="shared" si="26"/>
        <v>-1.9981929416870918</v>
      </c>
      <c r="K41" s="87">
        <f t="shared" si="26"/>
        <v>1.287753296465489</v>
      </c>
      <c r="L41" s="87">
        <f t="shared" si="26"/>
        <v>4.074014601835799</v>
      </c>
      <c r="M41" s="87">
        <f t="shared" si="26"/>
        <v>9.6827209708889903</v>
      </c>
      <c r="N41" s="87">
        <f t="shared" si="26"/>
        <v>14.552300884183065</v>
      </c>
      <c r="O41" s="87">
        <f t="shared" si="26"/>
        <v>18.774598593874373</v>
      </c>
      <c r="P41" s="87">
        <f t="shared" si="26"/>
        <v>22.430466794100873</v>
      </c>
      <c r="Q41" s="87">
        <f t="shared" si="26"/>
        <v>25.591048226250486</v>
      </c>
      <c r="R41" s="87">
        <f t="shared" si="26"/>
        <v>28.318910670976024</v>
      </c>
      <c r="S41" s="87">
        <f t="shared" si="26"/>
        <v>30.669051857781675</v>
      </c>
      <c r="T41" s="87">
        <f t="shared" si="26"/>
        <v>32.689788980201982</v>
      </c>
      <c r="U41" s="87">
        <f t="shared" si="26"/>
        <v>34.423545865355351</v>
      </c>
      <c r="V41" s="87">
        <f t="shared" si="26"/>
        <v>35.907549388660428</v>
      </c>
      <c r="W41" s="87">
        <f t="shared" si="26"/>
        <v>37.174445427867568</v>
      </c>
      <c r="X41" s="87">
        <f t="shared" si="26"/>
        <v>38.252843497559965</v>
      </c>
      <c r="Y41" s="87">
        <f t="shared" si="26"/>
        <v>39.167798180133929</v>
      </c>
      <c r="Z41" s="87">
        <f t="shared" si="26"/>
        <v>39.941234557913006</v>
      </c>
      <c r="AA41" s="87">
        <f t="shared" si="26"/>
        <v>40.592324040960158</v>
      </c>
      <c r="AB41" s="87">
        <f t="shared" si="26"/>
        <v>41.137816265169455</v>
      </c>
      <c r="AC41" s="87">
        <f t="shared" si="26"/>
        <v>41.592332095407734</v>
      </c>
      <c r="AD41" s="87">
        <f t="shared" si="26"/>
        <v>41.968622199989383</v>
      </c>
      <c r="AE41" s="87">
        <f t="shared" si="26"/>
        <v>42.277795157725009</v>
      </c>
      <c r="AF41" s="88">
        <f t="shared" si="26"/>
        <v>42.529518610172488</v>
      </c>
    </row>
    <row r="42" spans="2:33">
      <c r="B42" s="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C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2:33"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2:33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2:33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2:33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2:33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3:26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3:26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3:26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3:26"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3:26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3:26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3:26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6"/>
  <sheetViews>
    <sheetView topLeftCell="A25" workbookViewId="0">
      <selection activeCell="C48" sqref="C48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1.42578125" customWidth="1"/>
    <col min="9" max="9" width="11.7109375" customWidth="1"/>
    <col min="10" max="10" width="12.85546875" customWidth="1"/>
    <col min="11" max="11" width="11.42578125" customWidth="1"/>
    <col min="19" max="19" width="12.28515625" customWidth="1"/>
  </cols>
  <sheetData>
    <row r="1" spans="2:33">
      <c r="B1" t="s">
        <v>365</v>
      </c>
      <c r="C1" s="74">
        <f>63.19*G8*G9</f>
        <v>63.19</v>
      </c>
      <c r="D1" s="74"/>
      <c r="E1" s="74"/>
      <c r="F1" s="74"/>
      <c r="G1" s="74" t="s">
        <v>437</v>
      </c>
      <c r="H1" s="74" t="s">
        <v>286</v>
      </c>
      <c r="I1" s="74" t="s">
        <v>287</v>
      </c>
      <c r="J1" s="74" t="s">
        <v>288</v>
      </c>
      <c r="K1" s="74" t="s">
        <v>289</v>
      </c>
      <c r="M1" s="80"/>
      <c r="N1" s="81" t="s">
        <v>374</v>
      </c>
      <c r="O1" s="81" t="s">
        <v>416</v>
      </c>
      <c r="P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56.870999999999995</v>
      </c>
      <c r="D2" s="74" t="s">
        <v>436</v>
      </c>
      <c r="E2" s="74">
        <v>90</v>
      </c>
      <c r="F2" t="s">
        <v>417</v>
      </c>
      <c r="G2" s="74">
        <v>25.7</v>
      </c>
      <c r="H2" s="74">
        <v>25.7</v>
      </c>
      <c r="I2" s="74">
        <v>20</v>
      </c>
      <c r="J2" s="74">
        <v>30</v>
      </c>
      <c r="K2" s="74">
        <v>25</v>
      </c>
      <c r="M2" s="83">
        <v>2018</v>
      </c>
      <c r="N2" s="84">
        <f>E3</f>
        <v>31.594999999999999</v>
      </c>
      <c r="O2" s="84">
        <f>N2*$C$5/100</f>
        <v>3.0015249999999996</v>
      </c>
      <c r="P2" s="85">
        <f>N2+O2-$C$7</f>
        <v>29.564510749484928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31.594999999999999</v>
      </c>
      <c r="F3" t="s">
        <v>418</v>
      </c>
      <c r="G3" s="74">
        <v>0</v>
      </c>
      <c r="H3" s="74">
        <v>0</v>
      </c>
      <c r="I3" s="74">
        <v>29.3</v>
      </c>
      <c r="J3" s="74">
        <v>3.7</v>
      </c>
      <c r="K3" s="74">
        <v>0</v>
      </c>
      <c r="M3" s="83" t="s">
        <v>376</v>
      </c>
      <c r="N3" s="84">
        <f>P2</f>
        <v>29.564510749484928</v>
      </c>
      <c r="O3" s="84">
        <f t="shared" ref="O3:O11" si="0">N3*$C$5/100</f>
        <v>2.8086285212010682</v>
      </c>
      <c r="P3" s="85">
        <f t="shared" ref="P3:P10" si="1">N3+O3-$C$7</f>
        <v>27.341125020170924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31.594999999999999</v>
      </c>
      <c r="F4" t="s">
        <v>422</v>
      </c>
      <c r="G4" s="74">
        <f>G3*G10/1000000</f>
        <v>0</v>
      </c>
      <c r="H4" s="74">
        <f>H3*H10/1000000</f>
        <v>0</v>
      </c>
      <c r="I4" s="74">
        <f>I3*I10/1000000</f>
        <v>2.3466168263640004</v>
      </c>
      <c r="J4" s="74">
        <f>J3*J10/1000000</f>
        <v>0.89003111340160002</v>
      </c>
      <c r="K4" s="74">
        <f>K3*K10/1000000</f>
        <v>0</v>
      </c>
      <c r="M4" s="83" t="s">
        <v>377</v>
      </c>
      <c r="N4" s="84">
        <f t="shared" ref="N4:N11" si="2">P3</f>
        <v>27.341125020170924</v>
      </c>
      <c r="O4" s="84">
        <f t="shared" si="0"/>
        <v>2.5974068769162382</v>
      </c>
      <c r="P4" s="85">
        <f t="shared" si="1"/>
        <v>24.906517646572091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474.7</v>
      </c>
      <c r="H5" s="74">
        <v>495.5</v>
      </c>
      <c r="I5" s="74">
        <v>474.7</v>
      </c>
      <c r="J5" s="74">
        <v>495.5</v>
      </c>
      <c r="K5" s="74">
        <v>475.42</v>
      </c>
      <c r="M5" s="83" t="s">
        <v>378</v>
      </c>
      <c r="N5" s="84">
        <f t="shared" si="2"/>
        <v>24.906517646572091</v>
      </c>
      <c r="O5" s="84">
        <f t="shared" si="0"/>
        <v>2.3661191764243488</v>
      </c>
      <c r="P5" s="85">
        <f t="shared" si="1"/>
        <v>22.240622572481367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588</v>
      </c>
      <c r="H6" s="74">
        <v>588</v>
      </c>
      <c r="I6" s="74">
        <v>285</v>
      </c>
      <c r="J6" s="74">
        <v>856</v>
      </c>
      <c r="K6" s="74">
        <v>1064</v>
      </c>
      <c r="M6" s="83" t="s">
        <v>379</v>
      </c>
      <c r="N6" s="84">
        <f t="shared" si="2"/>
        <v>22.240622572481367</v>
      </c>
      <c r="O6" s="84">
        <f t="shared" si="0"/>
        <v>2.1128591443857299</v>
      </c>
      <c r="P6" s="85">
        <f t="shared" si="1"/>
        <v>19.321467466352026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5.0320142505150711</v>
      </c>
      <c r="D7" s="74"/>
      <c r="E7" s="74"/>
      <c r="F7" s="74" t="s">
        <v>429</v>
      </c>
      <c r="G7" s="74">
        <v>96.571148804565567</v>
      </c>
      <c r="H7" s="74">
        <v>69.3</v>
      </c>
      <c r="I7" s="74">
        <v>75.37</v>
      </c>
      <c r="J7" s="74">
        <v>75.760000000000005</v>
      </c>
      <c r="K7" s="74">
        <v>79.61</v>
      </c>
      <c r="M7" s="83" t="s">
        <v>380</v>
      </c>
      <c r="N7" s="84">
        <f t="shared" si="2"/>
        <v>19.321467466352026</v>
      </c>
      <c r="O7" s="84">
        <f t="shared" si="0"/>
        <v>1.8355394093034425</v>
      </c>
      <c r="P7" s="85">
        <f t="shared" si="1"/>
        <v>16.124992625140397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8.1244285714285702</v>
      </c>
      <c r="D8" s="74"/>
      <c r="E8" s="74"/>
      <c r="F8" s="74" t="s">
        <v>279</v>
      </c>
      <c r="G8" s="74">
        <v>1</v>
      </c>
      <c r="H8" s="74">
        <v>1</v>
      </c>
      <c r="I8" s="74">
        <v>0.88</v>
      </c>
      <c r="J8" s="74">
        <v>9.0399999999999991</v>
      </c>
      <c r="K8" s="74">
        <v>3.54</v>
      </c>
      <c r="M8" s="83" t="s">
        <v>381</v>
      </c>
      <c r="N8" s="84">
        <f t="shared" si="2"/>
        <v>16.124992625140397</v>
      </c>
      <c r="O8" s="84">
        <f t="shared" si="0"/>
        <v>1.5318742993883376</v>
      </c>
      <c r="P8" s="85">
        <f t="shared" si="1"/>
        <v>12.624852674013663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v>0</v>
      </c>
      <c r="D9" s="74" t="s">
        <v>398</v>
      </c>
      <c r="E9" s="74">
        <v>3</v>
      </c>
      <c r="F9" s="74" t="s">
        <v>435</v>
      </c>
      <c r="G9" s="74">
        <v>1</v>
      </c>
      <c r="H9" s="74">
        <v>1</v>
      </c>
      <c r="I9" s="74">
        <f>1/0.85</f>
        <v>1.1764705882352942</v>
      </c>
      <c r="J9" s="74">
        <f>1/19.2</f>
        <v>5.2083333333333336E-2</v>
      </c>
      <c r="K9" s="74">
        <f>1/6.61</f>
        <v>0.15128593040847199</v>
      </c>
      <c r="M9" s="83" t="s">
        <v>382</v>
      </c>
      <c r="N9" s="84">
        <f t="shared" si="2"/>
        <v>12.624852674013663</v>
      </c>
      <c r="O9" s="84">
        <f t="shared" si="0"/>
        <v>1.1993610040312981</v>
      </c>
      <c r="P9" s="85">
        <f t="shared" si="1"/>
        <v>8.7921994275298907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19.1*G8*G9</f>
        <v>19.100000000000001</v>
      </c>
      <c r="D10" s="74" t="s">
        <v>398</v>
      </c>
      <c r="E10" s="74">
        <v>4</v>
      </c>
      <c r="F10" s="74" t="s">
        <v>443</v>
      </c>
      <c r="G10" s="74">
        <f>G6/1000000*$C$14</f>
        <v>165236.89526399999</v>
      </c>
      <c r="H10" s="74">
        <f t="shared" ref="H10:K10" si="3">H6/1000000*$C$14</f>
        <v>165236.89526399999</v>
      </c>
      <c r="I10" s="74">
        <f t="shared" si="3"/>
        <v>80089.311480000004</v>
      </c>
      <c r="J10" s="74">
        <f t="shared" si="3"/>
        <v>240548.94956800001</v>
      </c>
      <c r="K10" s="74">
        <f t="shared" si="3"/>
        <v>299000.09619200003</v>
      </c>
      <c r="M10" s="83" t="s">
        <v>383</v>
      </c>
      <c r="N10" s="84">
        <f t="shared" si="2"/>
        <v>8.7921994275298907</v>
      </c>
      <c r="O10" s="84">
        <f t="shared" si="0"/>
        <v>0.83525894561533964</v>
      </c>
      <c r="P10" s="85">
        <f t="shared" si="1"/>
        <v>4.5954441226301599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27" t="s">
        <v>442</v>
      </c>
      <c r="G11" s="74">
        <f>G7*$C$14/1000/1000000</f>
        <v>27.137953742422042</v>
      </c>
      <c r="H11" s="74">
        <f t="shared" ref="H11:J11" si="4">H7*$C$14/1000/1000000</f>
        <v>19.474348370399998</v>
      </c>
      <c r="I11" s="74">
        <f t="shared" si="4"/>
        <v>21.180110197360001</v>
      </c>
      <c r="J11" s="74">
        <f t="shared" si="4"/>
        <v>21.289706097280003</v>
      </c>
      <c r="K11" s="74">
        <f>K7*$C$14/1000/1000000</f>
        <v>22.371614340079997</v>
      </c>
      <c r="M11" s="83" t="s">
        <v>384</v>
      </c>
      <c r="N11" s="84">
        <f t="shared" si="2"/>
        <v>4.5954441226301599</v>
      </c>
      <c r="O11" s="84">
        <f t="shared" si="0"/>
        <v>0.43656719164986518</v>
      </c>
      <c r="P11" s="85">
        <f>N11+O11-$C$7</f>
        <v>-2.9362350462136533E-6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 t="s">
        <v>363</v>
      </c>
      <c r="G12" s="74">
        <f>(0-AF42)*1000000/(G10*E6)</f>
        <v>6.8370637954553614E-13</v>
      </c>
      <c r="H12" s="74"/>
      <c r="M12" s="86"/>
      <c r="N12" s="87"/>
      <c r="O12" s="87"/>
      <c r="P12" s="88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441</v>
      </c>
      <c r="C14" s="74">
        <v>281015128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-5.0320142505150711</v>
      </c>
      <c r="D17" s="84">
        <f>-$C$7</f>
        <v>-5.0320142505150711</v>
      </c>
      <c r="E17" s="84">
        <f t="shared" ref="E17:L17" si="5">-$C$7</f>
        <v>-5.0320142505150711</v>
      </c>
      <c r="F17" s="84">
        <f t="shared" si="5"/>
        <v>-5.0320142505150711</v>
      </c>
      <c r="G17" s="84">
        <f t="shared" si="5"/>
        <v>-5.0320142505150711</v>
      </c>
      <c r="H17" s="84">
        <f t="shared" si="5"/>
        <v>-5.0320142505150711</v>
      </c>
      <c r="I17" s="84">
        <f t="shared" si="5"/>
        <v>-5.0320142505150711</v>
      </c>
      <c r="J17" s="84">
        <f t="shared" si="5"/>
        <v>-5.0320142505150711</v>
      </c>
      <c r="K17" s="84">
        <f t="shared" si="5"/>
        <v>-5.0320142505150711</v>
      </c>
      <c r="L17" s="84">
        <f t="shared" si="5"/>
        <v>-5.0320142505150711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0</v>
      </c>
      <c r="D18" s="84">
        <f>$C$9*(1+$E$9/100)^(D16-$C$16)</f>
        <v>0</v>
      </c>
      <c r="E18" s="84">
        <f t="shared" ref="E18:AF18" si="6">$C$9*(1+$E$9/100)^(E16-$C$16)</f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4">
        <f t="shared" si="6"/>
        <v>0</v>
      </c>
      <c r="P18" s="84">
        <f t="shared" si="6"/>
        <v>0</v>
      </c>
      <c r="Q18" s="84">
        <f t="shared" si="6"/>
        <v>0</v>
      </c>
      <c r="R18" s="84">
        <f t="shared" si="6"/>
        <v>0</v>
      </c>
      <c r="S18" s="84">
        <f t="shared" si="6"/>
        <v>0</v>
      </c>
      <c r="T18" s="84">
        <f t="shared" si="6"/>
        <v>0</v>
      </c>
      <c r="U18" s="84">
        <f t="shared" si="6"/>
        <v>0</v>
      </c>
      <c r="V18" s="84">
        <f t="shared" si="6"/>
        <v>0</v>
      </c>
      <c r="W18" s="84">
        <f t="shared" si="6"/>
        <v>0</v>
      </c>
      <c r="X18" s="84">
        <f t="shared" si="6"/>
        <v>0</v>
      </c>
      <c r="Y18" s="84">
        <f t="shared" si="6"/>
        <v>0</v>
      </c>
      <c r="Z18" s="84">
        <f t="shared" si="6"/>
        <v>0</v>
      </c>
      <c r="AA18" s="84">
        <f t="shared" si="6"/>
        <v>0</v>
      </c>
      <c r="AB18" s="84">
        <f t="shared" si="6"/>
        <v>0</v>
      </c>
      <c r="AC18" s="84">
        <f t="shared" si="6"/>
        <v>0</v>
      </c>
      <c r="AD18" s="84">
        <f t="shared" si="6"/>
        <v>0</v>
      </c>
      <c r="AE18" s="84">
        <f t="shared" si="6"/>
        <v>0</v>
      </c>
      <c r="AF18" s="85">
        <f t="shared" si="6"/>
        <v>0</v>
      </c>
      <c r="AG18" s="74"/>
    </row>
    <row r="19" spans="2:33">
      <c r="B19" s="96" t="s">
        <v>413</v>
      </c>
      <c r="C19" s="84">
        <f>-C10</f>
        <v>-19.100000000000001</v>
      </c>
      <c r="D19" s="84">
        <f>-$C$10*(1+$E$10/100)^(D16-$C$16)</f>
        <v>-19.864000000000001</v>
      </c>
      <c r="E19" s="84">
        <f t="shared" ref="E19:AF19" si="7">-$C$10*(1+$E$10/100)^(E16-$C$16)</f>
        <v>-20.658560000000005</v>
      </c>
      <c r="F19" s="84">
        <f t="shared" si="7"/>
        <v>-21.484902400000003</v>
      </c>
      <c r="G19" s="84">
        <f t="shared" si="7"/>
        <v>-22.344298496000008</v>
      </c>
      <c r="H19" s="84">
        <f t="shared" si="7"/>
        <v>-23.238070435840008</v>
      </c>
      <c r="I19" s="84">
        <f t="shared" si="7"/>
        <v>-24.167593253273608</v>
      </c>
      <c r="J19" s="84">
        <f t="shared" si="7"/>
        <v>-25.13429698340455</v>
      </c>
      <c r="K19" s="84">
        <f t="shared" si="7"/>
        <v>-26.139668862740738</v>
      </c>
      <c r="L19" s="84">
        <f t="shared" si="7"/>
        <v>-27.18525561725037</v>
      </c>
      <c r="M19" s="84">
        <f t="shared" si="7"/>
        <v>-28.272665841940384</v>
      </c>
      <c r="N19" s="84">
        <f t="shared" si="7"/>
        <v>-29.403572475617995</v>
      </c>
      <c r="O19" s="84">
        <f t="shared" si="7"/>
        <v>-30.579715374642724</v>
      </c>
      <c r="P19" s="84">
        <f t="shared" si="7"/>
        <v>-31.802903989628433</v>
      </c>
      <c r="Q19" s="84">
        <f t="shared" si="7"/>
        <v>-33.075020149213572</v>
      </c>
      <c r="R19" s="84">
        <f t="shared" si="7"/>
        <v>-34.398020955182112</v>
      </c>
      <c r="S19" s="84">
        <f t="shared" si="7"/>
        <v>-35.773941793389405</v>
      </c>
      <c r="T19" s="84">
        <f t="shared" si="7"/>
        <v>-37.204899465124981</v>
      </c>
      <c r="U19" s="84">
        <f t="shared" si="7"/>
        <v>-38.69309544372998</v>
      </c>
      <c r="V19" s="84">
        <f t="shared" si="7"/>
        <v>-40.240819261479182</v>
      </c>
      <c r="W19" s="84">
        <f t="shared" si="7"/>
        <v>-41.850452031938346</v>
      </c>
      <c r="X19" s="84">
        <f t="shared" si="7"/>
        <v>-43.524470113215891</v>
      </c>
      <c r="Y19" s="84">
        <f t="shared" si="7"/>
        <v>-45.265448917744529</v>
      </c>
      <c r="Z19" s="84">
        <f t="shared" si="7"/>
        <v>-47.076066874454305</v>
      </c>
      <c r="AA19" s="84">
        <f t="shared" si="7"/>
        <v>-48.959109549432483</v>
      </c>
      <c r="AB19" s="84">
        <f t="shared" si="7"/>
        <v>-50.917473931409788</v>
      </c>
      <c r="AC19" s="84">
        <f t="shared" si="7"/>
        <v>-52.954172888666179</v>
      </c>
      <c r="AD19" s="84">
        <f t="shared" si="7"/>
        <v>-55.072339804212824</v>
      </c>
      <c r="AE19" s="84">
        <f t="shared" si="7"/>
        <v>-57.275233396381353</v>
      </c>
      <c r="AF19" s="85">
        <f t="shared" si="7"/>
        <v>-59.566242732236603</v>
      </c>
    </row>
    <row r="20" spans="2:33">
      <c r="B20" s="97" t="s">
        <v>415</v>
      </c>
      <c r="C20" s="84">
        <f>SUM(C17:C19)</f>
        <v>-24.132014250515073</v>
      </c>
      <c r="D20" s="84">
        <f t="shared" ref="D20:AF20" si="8">SUM(D17:D19)</f>
        <v>-24.896014250515073</v>
      </c>
      <c r="E20" s="84">
        <f t="shared" si="8"/>
        <v>-25.690574250515077</v>
      </c>
      <c r="F20" s="84">
        <f t="shared" si="8"/>
        <v>-26.516916650515075</v>
      </c>
      <c r="G20" s="84">
        <f t="shared" si="8"/>
        <v>-27.37631274651508</v>
      </c>
      <c r="H20" s="84">
        <f t="shared" si="8"/>
        <v>-28.27008468635508</v>
      </c>
      <c r="I20" s="84">
        <f t="shared" si="8"/>
        <v>-29.19960750378868</v>
      </c>
      <c r="J20" s="84">
        <f t="shared" si="8"/>
        <v>-30.166311233919622</v>
      </c>
      <c r="K20" s="84">
        <f t="shared" si="8"/>
        <v>-31.17168311325581</v>
      </c>
      <c r="L20" s="84">
        <f t="shared" si="8"/>
        <v>-32.217269867765438</v>
      </c>
      <c r="M20" s="84">
        <f t="shared" si="8"/>
        <v>-28.272665841940384</v>
      </c>
      <c r="N20" s="84">
        <f t="shared" si="8"/>
        <v>-29.403572475617995</v>
      </c>
      <c r="O20" s="84">
        <f t="shared" si="8"/>
        <v>-30.579715374642724</v>
      </c>
      <c r="P20" s="84">
        <f t="shared" si="8"/>
        <v>-31.802903989628433</v>
      </c>
      <c r="Q20" s="84">
        <f t="shared" si="8"/>
        <v>-33.075020149213572</v>
      </c>
      <c r="R20" s="84">
        <f t="shared" si="8"/>
        <v>-34.398020955182112</v>
      </c>
      <c r="S20" s="84">
        <f t="shared" si="8"/>
        <v>-35.773941793389405</v>
      </c>
      <c r="T20" s="84">
        <f t="shared" si="8"/>
        <v>-37.204899465124981</v>
      </c>
      <c r="U20" s="84">
        <f t="shared" si="8"/>
        <v>-38.69309544372998</v>
      </c>
      <c r="V20" s="84">
        <f t="shared" si="8"/>
        <v>-40.240819261479182</v>
      </c>
      <c r="W20" s="84">
        <f t="shared" si="8"/>
        <v>-41.850452031938346</v>
      </c>
      <c r="X20" s="84">
        <f t="shared" si="8"/>
        <v>-43.524470113215891</v>
      </c>
      <c r="Y20" s="84">
        <f t="shared" si="8"/>
        <v>-45.265448917744529</v>
      </c>
      <c r="Z20" s="84">
        <f t="shared" si="8"/>
        <v>-47.076066874454305</v>
      </c>
      <c r="AA20" s="84">
        <f t="shared" si="8"/>
        <v>-48.959109549432483</v>
      </c>
      <c r="AB20" s="84">
        <f t="shared" si="8"/>
        <v>-50.917473931409788</v>
      </c>
      <c r="AC20" s="84">
        <f t="shared" si="8"/>
        <v>-52.954172888666179</v>
      </c>
      <c r="AD20" s="84">
        <f t="shared" si="8"/>
        <v>-55.072339804212824</v>
      </c>
      <c r="AE20" s="84">
        <f t="shared" si="8"/>
        <v>-57.275233396381353</v>
      </c>
      <c r="AF20" s="85">
        <f t="shared" si="8"/>
        <v>-59.566242732236603</v>
      </c>
    </row>
    <row r="21" spans="2:33">
      <c r="B21" s="96" t="s">
        <v>423</v>
      </c>
      <c r="C21" s="84">
        <f>-$C$8</f>
        <v>-8.1244285714285702</v>
      </c>
      <c r="D21" s="84">
        <f t="shared" ref="D21:I21" si="9">-$C$8</f>
        <v>-8.1244285714285702</v>
      </c>
      <c r="E21" s="84">
        <f t="shared" si="9"/>
        <v>-8.1244285714285702</v>
      </c>
      <c r="F21" s="84">
        <f t="shared" si="9"/>
        <v>-8.1244285714285702</v>
      </c>
      <c r="G21" s="84">
        <f t="shared" si="9"/>
        <v>-8.1244285714285702</v>
      </c>
      <c r="H21" s="84">
        <f t="shared" si="9"/>
        <v>-8.1244285714285702</v>
      </c>
      <c r="I21" s="84">
        <f t="shared" si="9"/>
        <v>-8.1244285714285702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31.594999999999999</v>
      </c>
      <c r="D22" s="99">
        <f>C22-C23-$C$7</f>
        <v>29.564510749484928</v>
      </c>
      <c r="E22" s="99">
        <f>D22-D23-$C$7</f>
        <v>27.341125020170924</v>
      </c>
      <c r="F22" s="99">
        <f t="shared" ref="F22:L22" si="10">E22-E23-$C$7</f>
        <v>24.906517646572091</v>
      </c>
      <c r="G22" s="99">
        <f t="shared" si="10"/>
        <v>22.240622572481367</v>
      </c>
      <c r="H22" s="99">
        <f>G22-G23-$C$7</f>
        <v>19.321467466352026</v>
      </c>
      <c r="I22" s="99">
        <f t="shared" si="10"/>
        <v>16.124992625140397</v>
      </c>
      <c r="J22" s="99">
        <f t="shared" si="10"/>
        <v>12.624852674013663</v>
      </c>
      <c r="K22" s="99">
        <f t="shared" si="10"/>
        <v>8.7921994275298907</v>
      </c>
      <c r="L22" s="99">
        <f t="shared" si="10"/>
        <v>4.5954441226301599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-3.0015249999999996</v>
      </c>
      <c r="D23" s="84">
        <f t="shared" ref="D23:L23" si="11">-D22*$C$5/100</f>
        <v>-2.8086285212010682</v>
      </c>
      <c r="E23" s="84">
        <f t="shared" si="11"/>
        <v>-2.5974068769162382</v>
      </c>
      <c r="F23" s="84">
        <f t="shared" si="11"/>
        <v>-2.3661191764243488</v>
      </c>
      <c r="G23" s="84">
        <f t="shared" si="11"/>
        <v>-2.1128591443857299</v>
      </c>
      <c r="H23" s="84">
        <f t="shared" si="11"/>
        <v>-1.8355394093034425</v>
      </c>
      <c r="I23" s="84">
        <f t="shared" si="11"/>
        <v>-1.5318742993883376</v>
      </c>
      <c r="J23" s="84">
        <f t="shared" si="11"/>
        <v>-1.1993610040312981</v>
      </c>
      <c r="K23" s="84">
        <f t="shared" si="11"/>
        <v>-0.83525894561533964</v>
      </c>
      <c r="L23" s="84">
        <f t="shared" si="11"/>
        <v>-0.43656719164986518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2">C18+C19+C21+C23</f>
        <v>-30.225953571428573</v>
      </c>
      <c r="D24" s="122">
        <f t="shared" si="12"/>
        <v>-30.79705709262964</v>
      </c>
      <c r="E24" s="122">
        <f t="shared" si="12"/>
        <v>-31.380395448344814</v>
      </c>
      <c r="F24" s="122">
        <f t="shared" si="12"/>
        <v>-31.975450147852921</v>
      </c>
      <c r="G24" s="122">
        <f t="shared" si="12"/>
        <v>-32.581586211814304</v>
      </c>
      <c r="H24" s="122">
        <f t="shared" si="12"/>
        <v>-33.198038416572018</v>
      </c>
      <c r="I24" s="122">
        <f t="shared" si="12"/>
        <v>-33.82389612409051</v>
      </c>
      <c r="J24" s="122">
        <f t="shared" si="12"/>
        <v>-26.333657987435849</v>
      </c>
      <c r="K24" s="122">
        <f t="shared" si="12"/>
        <v>-26.974927808356078</v>
      </c>
      <c r="L24" s="122">
        <f t="shared" si="12"/>
        <v>-27.621822808900234</v>
      </c>
      <c r="M24" s="122">
        <f t="shared" si="12"/>
        <v>-28.272665841940384</v>
      </c>
      <c r="N24" s="122">
        <f t="shared" si="12"/>
        <v>-29.403572475617995</v>
      </c>
      <c r="O24" s="122">
        <f t="shared" si="12"/>
        <v>-30.579715374642724</v>
      </c>
      <c r="P24" s="122">
        <f t="shared" si="12"/>
        <v>-31.802903989628433</v>
      </c>
      <c r="Q24" s="122">
        <f t="shared" si="12"/>
        <v>-33.075020149213572</v>
      </c>
      <c r="R24" s="122">
        <f t="shared" si="12"/>
        <v>-34.398020955182112</v>
      </c>
      <c r="S24" s="122">
        <f t="shared" si="12"/>
        <v>-35.773941793389405</v>
      </c>
      <c r="T24" s="122">
        <f t="shared" si="12"/>
        <v>-37.204899465124981</v>
      </c>
      <c r="U24" s="122">
        <f t="shared" si="12"/>
        <v>-38.69309544372998</v>
      </c>
      <c r="V24" s="122">
        <f t="shared" si="12"/>
        <v>-40.240819261479182</v>
      </c>
      <c r="W24" s="122">
        <f t="shared" si="12"/>
        <v>-41.850452031938346</v>
      </c>
      <c r="X24" s="122">
        <f t="shared" si="12"/>
        <v>-43.524470113215891</v>
      </c>
      <c r="Y24" s="122">
        <f t="shared" si="12"/>
        <v>-45.265448917744529</v>
      </c>
      <c r="Z24" s="122">
        <f t="shared" si="12"/>
        <v>-47.076066874454305</v>
      </c>
      <c r="AA24" s="122">
        <f t="shared" si="12"/>
        <v>-48.959109549432483</v>
      </c>
      <c r="AB24" s="122">
        <f t="shared" si="12"/>
        <v>-50.917473931409788</v>
      </c>
      <c r="AC24" s="122">
        <f t="shared" si="12"/>
        <v>-52.954172888666179</v>
      </c>
      <c r="AD24" s="122">
        <f t="shared" si="12"/>
        <v>-55.072339804212824</v>
      </c>
      <c r="AE24" s="122">
        <f t="shared" si="12"/>
        <v>-57.275233396381353</v>
      </c>
      <c r="AF24" s="129">
        <f t="shared" si="12"/>
        <v>-59.566242732236603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-30.225953571428573</v>
      </c>
      <c r="E26" s="84">
        <f t="shared" ref="E26:AF26" si="13">D30</f>
        <v>-61.023010664058212</v>
      </c>
      <c r="F26" s="84">
        <f t="shared" si="13"/>
        <v>-92.403406112403019</v>
      </c>
      <c r="G26" s="84">
        <f t="shared" si="13"/>
        <v>-124.37885626025594</v>
      </c>
      <c r="H26" s="84">
        <f t="shared" si="13"/>
        <v>-156.96044247207024</v>
      </c>
      <c r="I26" s="84">
        <f t="shared" si="13"/>
        <v>-190.15848088864226</v>
      </c>
      <c r="J26" s="84">
        <f t="shared" si="13"/>
        <v>-223.98237701273277</v>
      </c>
      <c r="K26" s="84">
        <f t="shared" si="13"/>
        <v>-250.31603500016863</v>
      </c>
      <c r="L26" s="84">
        <f t="shared" si="13"/>
        <v>-277.29096280852468</v>
      </c>
      <c r="M26" s="84">
        <f t="shared" si="13"/>
        <v>-304.9127856174249</v>
      </c>
      <c r="N26" s="84">
        <f t="shared" si="13"/>
        <v>-333.18545145936531</v>
      </c>
      <c r="O26" s="84">
        <f t="shared" si="13"/>
        <v>-362.58902393498329</v>
      </c>
      <c r="P26" s="84">
        <f t="shared" si="13"/>
        <v>-393.16873930962601</v>
      </c>
      <c r="Q26" s="84">
        <f t="shared" si="13"/>
        <v>-424.97164329925442</v>
      </c>
      <c r="R26" s="84">
        <f t="shared" si="13"/>
        <v>-458.046663448468</v>
      </c>
      <c r="S26" s="84">
        <f t="shared" si="13"/>
        <v>-492.44468440365011</v>
      </c>
      <c r="T26" s="84">
        <f t="shared" si="13"/>
        <v>-528.2186261970395</v>
      </c>
      <c r="U26" s="84">
        <f t="shared" si="13"/>
        <v>-565.42352566216448</v>
      </c>
      <c r="V26" s="84">
        <f t="shared" si="13"/>
        <v>-604.11662110589441</v>
      </c>
      <c r="W26" s="84">
        <f t="shared" si="13"/>
        <v>-644.35744036737356</v>
      </c>
      <c r="X26" s="84">
        <f t="shared" si="13"/>
        <v>-686.20789239931196</v>
      </c>
      <c r="Y26" s="84">
        <f t="shared" si="13"/>
        <v>-729.73236251252786</v>
      </c>
      <c r="Z26" s="84">
        <f t="shared" si="13"/>
        <v>-774.99781143027235</v>
      </c>
      <c r="AA26" s="84">
        <f t="shared" si="13"/>
        <v>-822.07387830472669</v>
      </c>
      <c r="AB26" s="84">
        <f t="shared" si="13"/>
        <v>-871.03298785415916</v>
      </c>
      <c r="AC26" s="84">
        <f t="shared" si="13"/>
        <v>-921.9504617855689</v>
      </c>
      <c r="AD26" s="84">
        <f t="shared" si="13"/>
        <v>-974.90463467423513</v>
      </c>
      <c r="AE26" s="84">
        <f t="shared" si="13"/>
        <v>-1029.976974478448</v>
      </c>
      <c r="AF26" s="85">
        <f t="shared" si="13"/>
        <v>-1087.2522078748293</v>
      </c>
    </row>
    <row r="27" spans="2:33">
      <c r="B27" s="125" t="s">
        <v>455</v>
      </c>
      <c r="C27" s="122">
        <f>IF(C24&lt;0,C24,IF(C24&gt;0,0))</f>
        <v>-30.225953571428573</v>
      </c>
      <c r="D27" s="122">
        <f t="shared" ref="D27:AF27" si="14">IF(D24&lt;0,D24,IF(D24&gt;0,0))</f>
        <v>-30.79705709262964</v>
      </c>
      <c r="E27" s="122">
        <f t="shared" si="14"/>
        <v>-31.380395448344814</v>
      </c>
      <c r="F27" s="122">
        <f t="shared" si="14"/>
        <v>-31.975450147852921</v>
      </c>
      <c r="G27" s="122">
        <f t="shared" si="14"/>
        <v>-32.581586211814304</v>
      </c>
      <c r="H27" s="122">
        <f t="shared" si="14"/>
        <v>-33.198038416572018</v>
      </c>
      <c r="I27" s="122">
        <f t="shared" si="14"/>
        <v>-33.82389612409051</v>
      </c>
      <c r="J27" s="122">
        <f t="shared" si="14"/>
        <v>-26.333657987435849</v>
      </c>
      <c r="K27" s="122">
        <f t="shared" si="14"/>
        <v>-26.974927808356078</v>
      </c>
      <c r="L27" s="122">
        <f t="shared" si="14"/>
        <v>-27.621822808900234</v>
      </c>
      <c r="M27" s="122">
        <f t="shared" si="14"/>
        <v>-28.272665841940384</v>
      </c>
      <c r="N27" s="122">
        <f t="shared" si="14"/>
        <v>-29.403572475617995</v>
      </c>
      <c r="O27" s="122">
        <f t="shared" si="14"/>
        <v>-30.579715374642724</v>
      </c>
      <c r="P27" s="122">
        <f t="shared" si="14"/>
        <v>-31.802903989628433</v>
      </c>
      <c r="Q27" s="122">
        <f t="shared" si="14"/>
        <v>-33.075020149213572</v>
      </c>
      <c r="R27" s="122">
        <f t="shared" si="14"/>
        <v>-34.398020955182112</v>
      </c>
      <c r="S27" s="122">
        <f t="shared" si="14"/>
        <v>-35.773941793389405</v>
      </c>
      <c r="T27" s="122">
        <f t="shared" si="14"/>
        <v>-37.204899465124981</v>
      </c>
      <c r="U27" s="122">
        <f t="shared" si="14"/>
        <v>-38.69309544372998</v>
      </c>
      <c r="V27" s="122">
        <f t="shared" si="14"/>
        <v>-40.240819261479182</v>
      </c>
      <c r="W27" s="122">
        <f t="shared" si="14"/>
        <v>-41.850452031938346</v>
      </c>
      <c r="X27" s="122">
        <f t="shared" si="14"/>
        <v>-43.524470113215891</v>
      </c>
      <c r="Y27" s="122">
        <f t="shared" si="14"/>
        <v>-45.265448917744529</v>
      </c>
      <c r="Z27" s="122">
        <f t="shared" si="14"/>
        <v>-47.076066874454305</v>
      </c>
      <c r="AA27" s="122">
        <f t="shared" si="14"/>
        <v>-48.959109549432483</v>
      </c>
      <c r="AB27" s="122">
        <f t="shared" si="14"/>
        <v>-50.917473931409788</v>
      </c>
      <c r="AC27" s="122">
        <f t="shared" si="14"/>
        <v>-52.954172888666179</v>
      </c>
      <c r="AD27" s="122">
        <f t="shared" si="14"/>
        <v>-55.072339804212824</v>
      </c>
      <c r="AE27" s="122">
        <f t="shared" si="14"/>
        <v>-57.275233396381353</v>
      </c>
      <c r="AF27" s="129">
        <f t="shared" si="14"/>
        <v>-59.566242732236603</v>
      </c>
    </row>
    <row r="28" spans="2:33">
      <c r="B28" s="124" t="s">
        <v>456</v>
      </c>
      <c r="C28" s="84">
        <f>C26+C27</f>
        <v>-30.225953571428573</v>
      </c>
      <c r="D28" s="84">
        <f t="shared" ref="D28:AF28" si="15">D26+D27</f>
        <v>-61.023010664058212</v>
      </c>
      <c r="E28" s="84">
        <f t="shared" si="15"/>
        <v>-92.403406112403019</v>
      </c>
      <c r="F28" s="84">
        <f t="shared" si="15"/>
        <v>-124.37885626025594</v>
      </c>
      <c r="G28" s="84">
        <f t="shared" si="15"/>
        <v>-156.96044247207024</v>
      </c>
      <c r="H28" s="84">
        <f t="shared" si="15"/>
        <v>-190.15848088864226</v>
      </c>
      <c r="I28" s="84">
        <f t="shared" si="15"/>
        <v>-223.98237701273277</v>
      </c>
      <c r="J28" s="84">
        <f t="shared" si="15"/>
        <v>-250.31603500016863</v>
      </c>
      <c r="K28" s="84">
        <f t="shared" si="15"/>
        <v>-277.29096280852468</v>
      </c>
      <c r="L28" s="84">
        <f t="shared" si="15"/>
        <v>-304.9127856174249</v>
      </c>
      <c r="M28" s="84">
        <f t="shared" si="15"/>
        <v>-333.18545145936531</v>
      </c>
      <c r="N28" s="84">
        <f t="shared" si="15"/>
        <v>-362.58902393498329</v>
      </c>
      <c r="O28" s="84">
        <f t="shared" si="15"/>
        <v>-393.16873930962601</v>
      </c>
      <c r="P28" s="84">
        <f t="shared" si="15"/>
        <v>-424.97164329925442</v>
      </c>
      <c r="Q28" s="84">
        <f t="shared" si="15"/>
        <v>-458.046663448468</v>
      </c>
      <c r="R28" s="84">
        <f t="shared" si="15"/>
        <v>-492.44468440365011</v>
      </c>
      <c r="S28" s="84">
        <f t="shared" si="15"/>
        <v>-528.2186261970395</v>
      </c>
      <c r="T28" s="84">
        <f t="shared" si="15"/>
        <v>-565.42352566216448</v>
      </c>
      <c r="U28" s="84">
        <f t="shared" si="15"/>
        <v>-604.11662110589441</v>
      </c>
      <c r="V28" s="84">
        <f t="shared" si="15"/>
        <v>-644.35744036737356</v>
      </c>
      <c r="W28" s="84">
        <f t="shared" si="15"/>
        <v>-686.20789239931196</v>
      </c>
      <c r="X28" s="84">
        <f t="shared" si="15"/>
        <v>-729.73236251252786</v>
      </c>
      <c r="Y28" s="84">
        <f t="shared" si="15"/>
        <v>-774.99781143027235</v>
      </c>
      <c r="Z28" s="84">
        <f t="shared" si="15"/>
        <v>-822.07387830472669</v>
      </c>
      <c r="AA28" s="84">
        <f t="shared" si="15"/>
        <v>-871.03298785415916</v>
      </c>
      <c r="AB28" s="84">
        <f t="shared" si="15"/>
        <v>-921.9504617855689</v>
      </c>
      <c r="AC28" s="84">
        <f t="shared" si="15"/>
        <v>-974.90463467423513</v>
      </c>
      <c r="AD28" s="84">
        <f t="shared" si="15"/>
        <v>-1029.976974478448</v>
      </c>
      <c r="AE28" s="84">
        <f t="shared" si="15"/>
        <v>-1087.2522078748293</v>
      </c>
      <c r="AF28" s="85">
        <f t="shared" si="15"/>
        <v>-1146.8184506070659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6">IF(D24&lt;0,0,IF(D24+D28&lt;0,D24,IF(D24+D28&gt;0,-D28)))</f>
        <v>0</v>
      </c>
      <c r="E29" s="122">
        <f t="shared" si="16"/>
        <v>0</v>
      </c>
      <c r="F29" s="122">
        <f t="shared" si="16"/>
        <v>0</v>
      </c>
      <c r="G29" s="122">
        <f t="shared" si="16"/>
        <v>0</v>
      </c>
      <c r="H29" s="122">
        <f t="shared" si="16"/>
        <v>0</v>
      </c>
      <c r="I29" s="122">
        <f t="shared" si="16"/>
        <v>0</v>
      </c>
      <c r="J29" s="122">
        <f t="shared" si="16"/>
        <v>0</v>
      </c>
      <c r="K29" s="122">
        <f t="shared" si="16"/>
        <v>0</v>
      </c>
      <c r="L29" s="122">
        <f t="shared" si="16"/>
        <v>0</v>
      </c>
      <c r="M29" s="122">
        <f t="shared" si="16"/>
        <v>0</v>
      </c>
      <c r="N29" s="122">
        <f t="shared" si="16"/>
        <v>0</v>
      </c>
      <c r="O29" s="122">
        <f t="shared" si="16"/>
        <v>0</v>
      </c>
      <c r="P29" s="122">
        <f t="shared" si="16"/>
        <v>0</v>
      </c>
      <c r="Q29" s="122">
        <f t="shared" si="16"/>
        <v>0</v>
      </c>
      <c r="R29" s="122">
        <f t="shared" si="16"/>
        <v>0</v>
      </c>
      <c r="S29" s="122">
        <f t="shared" si="16"/>
        <v>0</v>
      </c>
      <c r="T29" s="122">
        <f t="shared" si="16"/>
        <v>0</v>
      </c>
      <c r="U29" s="122">
        <f t="shared" si="16"/>
        <v>0</v>
      </c>
      <c r="V29" s="122">
        <f t="shared" si="16"/>
        <v>0</v>
      </c>
      <c r="W29" s="122">
        <f t="shared" si="16"/>
        <v>0</v>
      </c>
      <c r="X29" s="122">
        <f t="shared" si="16"/>
        <v>0</v>
      </c>
      <c r="Y29" s="122">
        <f t="shared" si="16"/>
        <v>0</v>
      </c>
      <c r="Z29" s="122">
        <f t="shared" si="16"/>
        <v>0</v>
      </c>
      <c r="AA29" s="122">
        <f t="shared" si="16"/>
        <v>0</v>
      </c>
      <c r="AB29" s="122">
        <f t="shared" si="16"/>
        <v>0</v>
      </c>
      <c r="AC29" s="122">
        <f t="shared" si="16"/>
        <v>0</v>
      </c>
      <c r="AD29" s="122">
        <f t="shared" si="16"/>
        <v>0</v>
      </c>
      <c r="AE29" s="122">
        <f t="shared" si="16"/>
        <v>0</v>
      </c>
      <c r="AF29" s="129">
        <f t="shared" si="16"/>
        <v>0</v>
      </c>
    </row>
    <row r="30" spans="2:33">
      <c r="B30" s="126" t="s">
        <v>458</v>
      </c>
      <c r="C30" s="127">
        <f>C28+C29</f>
        <v>-30.225953571428573</v>
      </c>
      <c r="D30" s="127">
        <f t="shared" ref="D30:AF30" si="17">D28+D29</f>
        <v>-61.023010664058212</v>
      </c>
      <c r="E30" s="127">
        <f t="shared" si="17"/>
        <v>-92.403406112403019</v>
      </c>
      <c r="F30" s="127">
        <f t="shared" si="17"/>
        <v>-124.37885626025594</v>
      </c>
      <c r="G30" s="127">
        <f t="shared" si="17"/>
        <v>-156.96044247207024</v>
      </c>
      <c r="H30" s="127">
        <f t="shared" si="17"/>
        <v>-190.15848088864226</v>
      </c>
      <c r="I30" s="127">
        <f t="shared" si="17"/>
        <v>-223.98237701273277</v>
      </c>
      <c r="J30" s="127">
        <f t="shared" si="17"/>
        <v>-250.31603500016863</v>
      </c>
      <c r="K30" s="127">
        <f t="shared" si="17"/>
        <v>-277.29096280852468</v>
      </c>
      <c r="L30" s="127">
        <f t="shared" si="17"/>
        <v>-304.9127856174249</v>
      </c>
      <c r="M30" s="127">
        <f t="shared" si="17"/>
        <v>-333.18545145936531</v>
      </c>
      <c r="N30" s="127">
        <f t="shared" si="17"/>
        <v>-362.58902393498329</v>
      </c>
      <c r="O30" s="127">
        <f t="shared" si="17"/>
        <v>-393.16873930962601</v>
      </c>
      <c r="P30" s="127">
        <f t="shared" si="17"/>
        <v>-424.97164329925442</v>
      </c>
      <c r="Q30" s="127">
        <f t="shared" si="17"/>
        <v>-458.046663448468</v>
      </c>
      <c r="R30" s="127">
        <f t="shared" si="17"/>
        <v>-492.44468440365011</v>
      </c>
      <c r="S30" s="127">
        <f t="shared" si="17"/>
        <v>-528.2186261970395</v>
      </c>
      <c r="T30" s="127">
        <f t="shared" si="17"/>
        <v>-565.42352566216448</v>
      </c>
      <c r="U30" s="127">
        <f t="shared" si="17"/>
        <v>-604.11662110589441</v>
      </c>
      <c r="V30" s="127">
        <f t="shared" si="17"/>
        <v>-644.35744036737356</v>
      </c>
      <c r="W30" s="127">
        <f t="shared" si="17"/>
        <v>-686.20789239931196</v>
      </c>
      <c r="X30" s="127">
        <f t="shared" si="17"/>
        <v>-729.73236251252786</v>
      </c>
      <c r="Y30" s="127">
        <f t="shared" si="17"/>
        <v>-774.99781143027235</v>
      </c>
      <c r="Z30" s="127">
        <f t="shared" si="17"/>
        <v>-822.07387830472669</v>
      </c>
      <c r="AA30" s="127">
        <f t="shared" si="17"/>
        <v>-871.03298785415916</v>
      </c>
      <c r="AB30" s="127">
        <f t="shared" si="17"/>
        <v>-921.9504617855689</v>
      </c>
      <c r="AC30" s="127">
        <f t="shared" si="17"/>
        <v>-974.90463467423513</v>
      </c>
      <c r="AD30" s="127">
        <f t="shared" si="17"/>
        <v>-1029.976974478448</v>
      </c>
      <c r="AE30" s="127">
        <f t="shared" si="17"/>
        <v>-1087.2522078748293</v>
      </c>
      <c r="AF30" s="130">
        <f t="shared" si="17"/>
        <v>-1146.8184506070659</v>
      </c>
    </row>
    <row r="31" spans="2:33">
      <c r="B31" s="96" t="s">
        <v>427</v>
      </c>
      <c r="C31" s="84">
        <f>IF(C24&lt;0,0,IF(C24&gt;0,-(C24-C29)*$G$2/100))</f>
        <v>0</v>
      </c>
      <c r="D31" s="84">
        <f t="shared" ref="D31:AF31" si="18">IF(D24&lt;0,0,IF(D24&gt;0,-(D24-D29)*$G$2/100))</f>
        <v>0</v>
      </c>
      <c r="E31" s="84">
        <f t="shared" si="18"/>
        <v>0</v>
      </c>
      <c r="F31" s="84">
        <f t="shared" si="18"/>
        <v>0</v>
      </c>
      <c r="G31" s="84">
        <f t="shared" si="18"/>
        <v>0</v>
      </c>
      <c r="H31" s="84">
        <f t="shared" si="18"/>
        <v>0</v>
      </c>
      <c r="I31" s="84">
        <f t="shared" si="18"/>
        <v>0</v>
      </c>
      <c r="J31" s="84">
        <f t="shared" si="18"/>
        <v>0</v>
      </c>
      <c r="K31" s="84">
        <f t="shared" si="18"/>
        <v>0</v>
      </c>
      <c r="L31" s="84">
        <f t="shared" si="18"/>
        <v>0</v>
      </c>
      <c r="M31" s="84">
        <f t="shared" si="18"/>
        <v>0</v>
      </c>
      <c r="N31" s="84">
        <f t="shared" si="18"/>
        <v>0</v>
      </c>
      <c r="O31" s="84">
        <f t="shared" si="18"/>
        <v>0</v>
      </c>
      <c r="P31" s="84">
        <f t="shared" si="18"/>
        <v>0</v>
      </c>
      <c r="Q31" s="84">
        <f t="shared" si="18"/>
        <v>0</v>
      </c>
      <c r="R31" s="84">
        <f t="shared" si="18"/>
        <v>0</v>
      </c>
      <c r="S31" s="84">
        <f t="shared" si="18"/>
        <v>0</v>
      </c>
      <c r="T31" s="84">
        <f t="shared" si="18"/>
        <v>0</v>
      </c>
      <c r="U31" s="84">
        <f t="shared" si="18"/>
        <v>0</v>
      </c>
      <c r="V31" s="84">
        <f t="shared" si="18"/>
        <v>0</v>
      </c>
      <c r="W31" s="84">
        <f t="shared" si="18"/>
        <v>0</v>
      </c>
      <c r="X31" s="84">
        <f t="shared" si="18"/>
        <v>0</v>
      </c>
      <c r="Y31" s="84">
        <f t="shared" si="18"/>
        <v>0</v>
      </c>
      <c r="Z31" s="84">
        <f t="shared" si="18"/>
        <v>0</v>
      </c>
      <c r="AA31" s="84">
        <f t="shared" si="18"/>
        <v>0</v>
      </c>
      <c r="AB31" s="84">
        <f t="shared" si="18"/>
        <v>0</v>
      </c>
      <c r="AC31" s="84">
        <f t="shared" si="18"/>
        <v>0</v>
      </c>
      <c r="AD31" s="84">
        <f t="shared" si="18"/>
        <v>0</v>
      </c>
      <c r="AE31" s="84">
        <f t="shared" si="18"/>
        <v>0</v>
      </c>
      <c r="AF31" s="85">
        <f t="shared" si="18"/>
        <v>0</v>
      </c>
      <c r="AG31" s="101"/>
    </row>
    <row r="32" spans="2:33">
      <c r="B32" s="27" t="s">
        <v>428</v>
      </c>
      <c r="C32" s="84">
        <f t="shared" ref="C32:AF32" si="19">C20+C31</f>
        <v>-24.132014250515073</v>
      </c>
      <c r="D32" s="84">
        <f t="shared" si="19"/>
        <v>-24.896014250515073</v>
      </c>
      <c r="E32" s="84">
        <f t="shared" si="19"/>
        <v>-25.690574250515077</v>
      </c>
      <c r="F32" s="84">
        <f t="shared" si="19"/>
        <v>-26.516916650515075</v>
      </c>
      <c r="G32" s="84">
        <f t="shared" si="19"/>
        <v>-27.37631274651508</v>
      </c>
      <c r="H32" s="84">
        <f t="shared" si="19"/>
        <v>-28.27008468635508</v>
      </c>
      <c r="I32" s="84">
        <f t="shared" si="19"/>
        <v>-29.19960750378868</v>
      </c>
      <c r="J32" s="84">
        <f t="shared" si="19"/>
        <v>-30.166311233919622</v>
      </c>
      <c r="K32" s="84">
        <f t="shared" si="19"/>
        <v>-31.17168311325581</v>
      </c>
      <c r="L32" s="84">
        <f t="shared" si="19"/>
        <v>-32.217269867765438</v>
      </c>
      <c r="M32" s="84">
        <f t="shared" si="19"/>
        <v>-28.272665841940384</v>
      </c>
      <c r="N32" s="84">
        <f t="shared" si="19"/>
        <v>-29.403572475617995</v>
      </c>
      <c r="O32" s="84">
        <f t="shared" si="19"/>
        <v>-30.579715374642724</v>
      </c>
      <c r="P32" s="84">
        <f t="shared" si="19"/>
        <v>-31.802903989628433</v>
      </c>
      <c r="Q32" s="84">
        <f t="shared" si="19"/>
        <v>-33.075020149213572</v>
      </c>
      <c r="R32" s="84">
        <f t="shared" si="19"/>
        <v>-34.398020955182112</v>
      </c>
      <c r="S32" s="84">
        <f t="shared" si="19"/>
        <v>-35.773941793389405</v>
      </c>
      <c r="T32" s="84">
        <f t="shared" si="19"/>
        <v>-37.204899465124981</v>
      </c>
      <c r="U32" s="84">
        <f t="shared" si="19"/>
        <v>-38.69309544372998</v>
      </c>
      <c r="V32" s="84">
        <f t="shared" si="19"/>
        <v>-40.240819261479182</v>
      </c>
      <c r="W32" s="84">
        <f t="shared" si="19"/>
        <v>-41.850452031938346</v>
      </c>
      <c r="X32" s="84">
        <f t="shared" si="19"/>
        <v>-43.524470113215891</v>
      </c>
      <c r="Y32" s="84">
        <f t="shared" si="19"/>
        <v>-45.265448917744529</v>
      </c>
      <c r="Z32" s="84">
        <f t="shared" si="19"/>
        <v>-47.076066874454305</v>
      </c>
      <c r="AA32" s="84">
        <f t="shared" si="19"/>
        <v>-48.959109549432483</v>
      </c>
      <c r="AB32" s="84">
        <f t="shared" si="19"/>
        <v>-50.917473931409788</v>
      </c>
      <c r="AC32" s="84">
        <f t="shared" si="19"/>
        <v>-52.954172888666179</v>
      </c>
      <c r="AD32" s="84">
        <f t="shared" si="19"/>
        <v>-55.072339804212824</v>
      </c>
      <c r="AE32" s="84">
        <f t="shared" si="19"/>
        <v>-57.275233396381353</v>
      </c>
      <c r="AF32" s="85">
        <f t="shared" si="19"/>
        <v>-59.566242732236603</v>
      </c>
    </row>
    <row r="33" spans="2:33">
      <c r="B33" s="27" t="s">
        <v>422</v>
      </c>
      <c r="C33" s="84">
        <f>G4</f>
        <v>0</v>
      </c>
      <c r="D33" s="84">
        <f t="shared" ref="D33:AF33" si="20">$G$4*(1+$E$9/100)^(D16-$C$16)</f>
        <v>0</v>
      </c>
      <c r="E33" s="84">
        <f t="shared" si="20"/>
        <v>0</v>
      </c>
      <c r="F33" s="84">
        <f t="shared" si="20"/>
        <v>0</v>
      </c>
      <c r="G33" s="84">
        <f t="shared" si="20"/>
        <v>0</v>
      </c>
      <c r="H33" s="84">
        <f t="shared" si="20"/>
        <v>0</v>
      </c>
      <c r="I33" s="84">
        <f t="shared" si="20"/>
        <v>0</v>
      </c>
      <c r="J33" s="84">
        <f t="shared" si="20"/>
        <v>0</v>
      </c>
      <c r="K33" s="84">
        <f t="shared" si="20"/>
        <v>0</v>
      </c>
      <c r="L33" s="84">
        <f t="shared" si="20"/>
        <v>0</v>
      </c>
      <c r="M33" s="84">
        <f t="shared" si="20"/>
        <v>0</v>
      </c>
      <c r="N33" s="84">
        <f t="shared" si="20"/>
        <v>0</v>
      </c>
      <c r="O33" s="84">
        <f t="shared" si="20"/>
        <v>0</v>
      </c>
      <c r="P33" s="84">
        <f t="shared" si="20"/>
        <v>0</v>
      </c>
      <c r="Q33" s="84">
        <f t="shared" si="20"/>
        <v>0</v>
      </c>
      <c r="R33" s="84">
        <f t="shared" si="20"/>
        <v>0</v>
      </c>
      <c r="S33" s="84">
        <f t="shared" si="20"/>
        <v>0</v>
      </c>
      <c r="T33" s="84">
        <f t="shared" si="20"/>
        <v>0</v>
      </c>
      <c r="U33" s="84">
        <f t="shared" si="20"/>
        <v>0</v>
      </c>
      <c r="V33" s="84">
        <f t="shared" si="20"/>
        <v>0</v>
      </c>
      <c r="W33" s="84">
        <f t="shared" si="20"/>
        <v>0</v>
      </c>
      <c r="X33" s="84">
        <f t="shared" si="20"/>
        <v>0</v>
      </c>
      <c r="Y33" s="84">
        <f t="shared" si="20"/>
        <v>0</v>
      </c>
      <c r="Z33" s="84">
        <f t="shared" si="20"/>
        <v>0</v>
      </c>
      <c r="AA33" s="84">
        <f t="shared" si="20"/>
        <v>0</v>
      </c>
      <c r="AB33" s="84">
        <f t="shared" si="20"/>
        <v>0</v>
      </c>
      <c r="AC33" s="84">
        <f t="shared" si="20"/>
        <v>0</v>
      </c>
      <c r="AD33" s="84">
        <f t="shared" si="20"/>
        <v>0</v>
      </c>
      <c r="AE33" s="84">
        <f t="shared" si="20"/>
        <v>0</v>
      </c>
      <c r="AF33" s="85">
        <f t="shared" si="20"/>
        <v>0</v>
      </c>
    </row>
    <row r="34" spans="2:33">
      <c r="B34" s="27" t="s">
        <v>442</v>
      </c>
      <c r="C34" s="84">
        <f>G11</f>
        <v>27.137953742422042</v>
      </c>
      <c r="D34" s="84">
        <f>$C$34*(1+$E$9/100)^(D16-$C$16)</f>
        <v>27.952092354694702</v>
      </c>
      <c r="E34" s="84">
        <f t="shared" ref="E34:AF34" si="21">$C$34*(1+$E$9/100)^(E16-$C$16)</f>
        <v>28.790655125335544</v>
      </c>
      <c r="F34" s="84">
        <f t="shared" si="21"/>
        <v>29.654374779095612</v>
      </c>
      <c r="G34" s="84">
        <f t="shared" si="21"/>
        <v>30.544006022468476</v>
      </c>
      <c r="H34" s="84">
        <f t="shared" si="21"/>
        <v>31.460326203142529</v>
      </c>
      <c r="I34" s="84">
        <f t="shared" si="21"/>
        <v>32.404135989236806</v>
      </c>
      <c r="J34" s="84">
        <f t="shared" si="21"/>
        <v>33.376260068913915</v>
      </c>
      <c r="K34" s="84">
        <f t="shared" si="21"/>
        <v>34.377547870981324</v>
      </c>
      <c r="L34" s="84">
        <f t="shared" si="21"/>
        <v>35.408874307110764</v>
      </c>
      <c r="M34" s="84">
        <f t="shared" si="21"/>
        <v>36.471140536324093</v>
      </c>
      <c r="N34" s="84">
        <f t="shared" si="21"/>
        <v>37.565274752413814</v>
      </c>
      <c r="O34" s="84">
        <f t="shared" si="21"/>
        <v>38.69223299498622</v>
      </c>
      <c r="P34" s="84">
        <f t="shared" si="21"/>
        <v>39.852999984835805</v>
      </c>
      <c r="Q34" s="84">
        <f t="shared" si="21"/>
        <v>41.048589984380889</v>
      </c>
      <c r="R34" s="84">
        <f t="shared" si="21"/>
        <v>42.280047683912315</v>
      </c>
      <c r="S34" s="84">
        <f t="shared" si="21"/>
        <v>43.54844911442968</v>
      </c>
      <c r="T34" s="84">
        <f t="shared" si="21"/>
        <v>44.854902587862568</v>
      </c>
      <c r="U34" s="84">
        <f t="shared" si="21"/>
        <v>46.200549665498443</v>
      </c>
      <c r="V34" s="84">
        <f t="shared" si="21"/>
        <v>47.586566155463395</v>
      </c>
      <c r="W34" s="84">
        <f t="shared" si="21"/>
        <v>49.014163140127295</v>
      </c>
      <c r="X34" s="84">
        <f t="shared" si="21"/>
        <v>50.484588034331111</v>
      </c>
      <c r="Y34" s="84">
        <f t="shared" si="21"/>
        <v>51.99912567536105</v>
      </c>
      <c r="Z34" s="84">
        <f t="shared" si="21"/>
        <v>53.559099445621882</v>
      </c>
      <c r="AA34" s="84">
        <f t="shared" si="21"/>
        <v>55.165872428990532</v>
      </c>
      <c r="AB34" s="84">
        <f t="shared" si="21"/>
        <v>56.820848601860249</v>
      </c>
      <c r="AC34" s="84">
        <f t="shared" si="21"/>
        <v>58.525474059916064</v>
      </c>
      <c r="AD34" s="84">
        <f t="shared" si="21"/>
        <v>60.281238281713534</v>
      </c>
      <c r="AE34" s="84">
        <f t="shared" si="21"/>
        <v>62.089675430164945</v>
      </c>
      <c r="AF34" s="85">
        <f t="shared" si="21"/>
        <v>63.952365693069886</v>
      </c>
    </row>
    <row r="35" spans="2:33">
      <c r="B35" s="97" t="s">
        <v>430</v>
      </c>
      <c r="C35" s="84">
        <f>C32+C33+C34</f>
        <v>3.0059394919069682</v>
      </c>
      <c r="D35" s="84">
        <f t="shared" ref="D35:AF35" si="22">D32+D33+D34</f>
        <v>3.0560781041796297</v>
      </c>
      <c r="E35" s="84">
        <f t="shared" si="22"/>
        <v>3.1000808748204669</v>
      </c>
      <c r="F35" s="84">
        <f t="shared" si="22"/>
        <v>3.137458128580537</v>
      </c>
      <c r="G35" s="84">
        <f t="shared" si="22"/>
        <v>3.1676932759533969</v>
      </c>
      <c r="H35" s="84">
        <f t="shared" si="22"/>
        <v>3.1902415167874487</v>
      </c>
      <c r="I35" s="84">
        <f t="shared" si="22"/>
        <v>3.204528485448126</v>
      </c>
      <c r="J35" s="84">
        <f t="shared" si="22"/>
        <v>3.2099488349942931</v>
      </c>
      <c r="K35" s="84">
        <f t="shared" si="22"/>
        <v>3.2058647577255144</v>
      </c>
      <c r="L35" s="84">
        <f t="shared" si="22"/>
        <v>3.1916044393453262</v>
      </c>
      <c r="M35" s="84">
        <f t="shared" si="22"/>
        <v>8.1984746943837088</v>
      </c>
      <c r="N35" s="84">
        <f t="shared" si="22"/>
        <v>8.1617022767958183</v>
      </c>
      <c r="O35" s="84">
        <f t="shared" si="22"/>
        <v>8.1125176203434961</v>
      </c>
      <c r="P35" s="84">
        <f t="shared" si="22"/>
        <v>8.0500959952073714</v>
      </c>
      <c r="Q35" s="84">
        <f t="shared" si="22"/>
        <v>7.9735698351673179</v>
      </c>
      <c r="R35" s="84">
        <f t="shared" si="22"/>
        <v>7.882026728730203</v>
      </c>
      <c r="S35" s="84">
        <f t="shared" si="22"/>
        <v>7.7745073210402751</v>
      </c>
      <c r="T35" s="84">
        <f t="shared" si="22"/>
        <v>7.6500031227375871</v>
      </c>
      <c r="U35" s="84">
        <f t="shared" si="22"/>
        <v>7.5074542217684623</v>
      </c>
      <c r="V35" s="84">
        <f t="shared" si="22"/>
        <v>7.345746893984213</v>
      </c>
      <c r="W35" s="84">
        <f t="shared" si="22"/>
        <v>7.1637111081889486</v>
      </c>
      <c r="X35" s="84">
        <f t="shared" si="22"/>
        <v>6.96011792111522</v>
      </c>
      <c r="Y35" s="84">
        <f t="shared" si="22"/>
        <v>6.7336767576165215</v>
      </c>
      <c r="Z35" s="84">
        <f t="shared" si="22"/>
        <v>6.4830325711675769</v>
      </c>
      <c r="AA35" s="84">
        <f t="shared" si="22"/>
        <v>6.206762879558049</v>
      </c>
      <c r="AB35" s="84">
        <f t="shared" si="22"/>
        <v>5.9033746704504608</v>
      </c>
      <c r="AC35" s="84">
        <f t="shared" si="22"/>
        <v>5.5713011712498854</v>
      </c>
      <c r="AD35" s="84">
        <f t="shared" si="22"/>
        <v>5.2088984775007106</v>
      </c>
      <c r="AE35" s="84">
        <f t="shared" si="22"/>
        <v>4.8144420337835925</v>
      </c>
      <c r="AF35" s="85">
        <f t="shared" si="22"/>
        <v>4.3861229608332835</v>
      </c>
    </row>
    <row r="36" spans="2:33">
      <c r="B36" s="27" t="s">
        <v>431</v>
      </c>
      <c r="C36" s="84">
        <f>C35-E4</f>
        <v>-28.589060508093031</v>
      </c>
      <c r="D36" s="84">
        <f>D35</f>
        <v>3.0560781041796297</v>
      </c>
      <c r="E36" s="84">
        <f>E35</f>
        <v>3.1000808748204669</v>
      </c>
      <c r="F36" s="84">
        <f t="shared" ref="F36:AF36" si="23">F35</f>
        <v>3.137458128580537</v>
      </c>
      <c r="G36" s="84">
        <f t="shared" si="23"/>
        <v>3.1676932759533969</v>
      </c>
      <c r="H36" s="84">
        <f t="shared" si="23"/>
        <v>3.1902415167874487</v>
      </c>
      <c r="I36" s="84">
        <f t="shared" si="23"/>
        <v>3.204528485448126</v>
      </c>
      <c r="J36" s="84">
        <f t="shared" si="23"/>
        <v>3.2099488349942931</v>
      </c>
      <c r="K36" s="84">
        <f t="shared" si="23"/>
        <v>3.2058647577255144</v>
      </c>
      <c r="L36" s="84">
        <f t="shared" si="23"/>
        <v>3.1916044393453262</v>
      </c>
      <c r="M36" s="84">
        <f t="shared" si="23"/>
        <v>8.1984746943837088</v>
      </c>
      <c r="N36" s="84">
        <f t="shared" si="23"/>
        <v>8.1617022767958183</v>
      </c>
      <c r="O36" s="84">
        <f t="shared" si="23"/>
        <v>8.1125176203434961</v>
      </c>
      <c r="P36" s="84">
        <f t="shared" si="23"/>
        <v>8.0500959952073714</v>
      </c>
      <c r="Q36" s="84">
        <f t="shared" si="23"/>
        <v>7.9735698351673179</v>
      </c>
      <c r="R36" s="84">
        <f t="shared" si="23"/>
        <v>7.882026728730203</v>
      </c>
      <c r="S36" s="84">
        <f t="shared" si="23"/>
        <v>7.7745073210402751</v>
      </c>
      <c r="T36" s="84">
        <f t="shared" si="23"/>
        <v>7.6500031227375871</v>
      </c>
      <c r="U36" s="84">
        <f t="shared" si="23"/>
        <v>7.5074542217684623</v>
      </c>
      <c r="V36" s="84">
        <f t="shared" si="23"/>
        <v>7.345746893984213</v>
      </c>
      <c r="W36" s="84">
        <f t="shared" si="23"/>
        <v>7.1637111081889486</v>
      </c>
      <c r="X36" s="84">
        <f t="shared" si="23"/>
        <v>6.96011792111522</v>
      </c>
      <c r="Y36" s="84">
        <f t="shared" si="23"/>
        <v>6.7336767576165215</v>
      </c>
      <c r="Z36" s="84">
        <f t="shared" si="23"/>
        <v>6.4830325711675769</v>
      </c>
      <c r="AA36" s="84">
        <f t="shared" si="23"/>
        <v>6.206762879558049</v>
      </c>
      <c r="AB36" s="84">
        <f t="shared" si="23"/>
        <v>5.9033746704504608</v>
      </c>
      <c r="AC36" s="84">
        <f t="shared" si="23"/>
        <v>5.5713011712498854</v>
      </c>
      <c r="AD36" s="84">
        <f t="shared" si="23"/>
        <v>5.2088984775007106</v>
      </c>
      <c r="AE36" s="84">
        <f t="shared" si="23"/>
        <v>4.8144420337835925</v>
      </c>
      <c r="AF36" s="85">
        <f t="shared" si="23"/>
        <v>4.3861229608332835</v>
      </c>
      <c r="AG36" s="101"/>
    </row>
    <row r="37" spans="2:33">
      <c r="B37" s="27" t="s">
        <v>432</v>
      </c>
      <c r="C37" s="84">
        <f>C36</f>
        <v>-28.589060508093031</v>
      </c>
      <c r="D37" s="84">
        <f t="shared" ref="D37:AF37" si="24">D36/(1+$E$5/100)^(D16-$C$16)</f>
        <v>2.657459221025765</v>
      </c>
      <c r="E37" s="84">
        <f t="shared" si="24"/>
        <v>2.3441065216033778</v>
      </c>
      <c r="F37" s="84">
        <f t="shared" si="24"/>
        <v>2.0629296481173918</v>
      </c>
      <c r="G37" s="84">
        <f t="shared" si="24"/>
        <v>1.8111389115695831</v>
      </c>
      <c r="H37" s="84">
        <f t="shared" si="24"/>
        <v>1.5861138621294482</v>
      </c>
      <c r="I37" s="84">
        <f t="shared" si="24"/>
        <v>1.3854060961438894</v>
      </c>
      <c r="J37" s="84">
        <f t="shared" si="24"/>
        <v>1.2067386633323343</v>
      </c>
      <c r="K37" s="84">
        <f t="shared" si="24"/>
        <v>1.0480028760113849</v>
      </c>
      <c r="L37" s="84">
        <f t="shared" si="24"/>
        <v>0.90725317620633938</v>
      </c>
      <c r="M37" s="84">
        <f t="shared" si="24"/>
        <v>2.026537557978791</v>
      </c>
      <c r="N37" s="84">
        <f t="shared" si="24"/>
        <v>1.7543025902121201</v>
      </c>
      <c r="O37" s="84">
        <f t="shared" si="24"/>
        <v>1.516287549257517</v>
      </c>
      <c r="P37" s="84">
        <f t="shared" si="24"/>
        <v>1.3083656532115682</v>
      </c>
      <c r="Q37" s="84">
        <f t="shared" si="24"/>
        <v>1.1268939241629401</v>
      </c>
      <c r="R37" s="84">
        <f t="shared" si="24"/>
        <v>0.96865761720200083</v>
      </c>
      <c r="S37" s="84">
        <f t="shared" si="24"/>
        <v>0.83082093473423002</v>
      </c>
      <c r="T37" s="84">
        <f t="shared" si="24"/>
        <v>0.7108833236960701</v>
      </c>
      <c r="U37" s="84">
        <f t="shared" si="24"/>
        <v>0.60664073101791116</v>
      </c>
      <c r="V37" s="84">
        <f t="shared" si="24"/>
        <v>0.51615126188650828</v>
      </c>
      <c r="W37" s="84">
        <f t="shared" si="24"/>
        <v>0.43770474695988426</v>
      </c>
      <c r="X37" s="84">
        <f t="shared" si="24"/>
        <v>0.36979577951242015</v>
      </c>
      <c r="Y37" s="84">
        <f t="shared" si="24"/>
        <v>0.31109983227666488</v>
      </c>
      <c r="Z37" s="84">
        <f t="shared" si="24"/>
        <v>0.26045210716135836</v>
      </c>
      <c r="AA37" s="84">
        <f t="shared" si="24"/>
        <v>0.21682880965054763</v>
      </c>
      <c r="AB37" s="84">
        <f t="shared" si="24"/>
        <v>0.17933057405057232</v>
      </c>
      <c r="AC37" s="84">
        <f t="shared" si="24"/>
        <v>0.14716779631736956</v>
      </c>
      <c r="AD37" s="84">
        <f t="shared" si="24"/>
        <v>0.11964765838224925</v>
      </c>
      <c r="AE37" s="84">
        <f t="shared" si="24"/>
        <v>9.6162652070909654E-2</v>
      </c>
      <c r="AF37" s="85">
        <f t="shared" si="24"/>
        <v>7.6180432208495436E-2</v>
      </c>
      <c r="AG37" s="101"/>
    </row>
    <row r="38" spans="2:33" ht="15.75" thickBot="1">
      <c r="B38" s="29" t="s">
        <v>433</v>
      </c>
      <c r="C38" s="87">
        <f>C37</f>
        <v>-28.589060508093031</v>
      </c>
      <c r="D38" s="87">
        <f>C38+D37</f>
        <v>-25.931601287067267</v>
      </c>
      <c r="E38" s="87">
        <f t="shared" ref="E38:AF38" si="25">D38+E37</f>
        <v>-23.587494765463887</v>
      </c>
      <c r="F38" s="87">
        <f t="shared" si="25"/>
        <v>-21.524565117346494</v>
      </c>
      <c r="G38" s="87">
        <f t="shared" si="25"/>
        <v>-19.713426205776912</v>
      </c>
      <c r="H38" s="87">
        <f t="shared" si="25"/>
        <v>-18.127312343647464</v>
      </c>
      <c r="I38" s="87">
        <f t="shared" si="25"/>
        <v>-16.741906247503575</v>
      </c>
      <c r="J38" s="87">
        <f t="shared" si="25"/>
        <v>-15.535167584171241</v>
      </c>
      <c r="K38" s="87">
        <f t="shared" si="25"/>
        <v>-14.487164708159856</v>
      </c>
      <c r="L38" s="87">
        <f>K38+L37</f>
        <v>-13.579911531953517</v>
      </c>
      <c r="M38" s="87">
        <f t="shared" si="25"/>
        <v>-11.553373973974725</v>
      </c>
      <c r="N38" s="87">
        <f t="shared" si="25"/>
        <v>-9.7990713837626053</v>
      </c>
      <c r="O38" s="87">
        <f t="shared" si="25"/>
        <v>-8.2827838345050893</v>
      </c>
      <c r="P38" s="87">
        <f t="shared" si="25"/>
        <v>-6.9744181812935206</v>
      </c>
      <c r="Q38" s="87">
        <f t="shared" si="25"/>
        <v>-5.8475242571305808</v>
      </c>
      <c r="R38" s="87">
        <f t="shared" si="25"/>
        <v>-4.8788666399285798</v>
      </c>
      <c r="S38" s="87">
        <f t="shared" si="25"/>
        <v>-4.0480457051943501</v>
      </c>
      <c r="T38" s="87">
        <f t="shared" si="25"/>
        <v>-3.3371623814982803</v>
      </c>
      <c r="U38" s="87">
        <f t="shared" si="25"/>
        <v>-2.7305216504803691</v>
      </c>
      <c r="V38" s="87">
        <f t="shared" si="25"/>
        <v>-2.2143703885938608</v>
      </c>
      <c r="W38" s="87">
        <f t="shared" si="25"/>
        <v>-1.7766656416339766</v>
      </c>
      <c r="X38" s="87">
        <f t="shared" si="25"/>
        <v>-1.4068698621215563</v>
      </c>
      <c r="Y38" s="87">
        <f t="shared" si="25"/>
        <v>-1.0957700298448914</v>
      </c>
      <c r="Z38" s="87">
        <f t="shared" si="25"/>
        <v>-0.835317922683533</v>
      </c>
      <c r="AA38" s="87">
        <f t="shared" si="25"/>
        <v>-0.61848911303298537</v>
      </c>
      <c r="AB38" s="87">
        <f t="shared" si="25"/>
        <v>-0.43915853898241308</v>
      </c>
      <c r="AC38" s="87">
        <f t="shared" si="25"/>
        <v>-0.29199074266504355</v>
      </c>
      <c r="AD38" s="87">
        <f t="shared" si="25"/>
        <v>-0.1723430842827943</v>
      </c>
      <c r="AE38" s="87">
        <f t="shared" si="25"/>
        <v>-7.6180432211884641E-2</v>
      </c>
      <c r="AF38" s="88">
        <f t="shared" si="25"/>
        <v>-3.389205582848831E-12</v>
      </c>
    </row>
    <row r="39" spans="2:33">
      <c r="B39" s="131" t="s">
        <v>430</v>
      </c>
      <c r="C39" s="81">
        <f>C32+C34</f>
        <v>3.0059394919069682</v>
      </c>
      <c r="D39" s="81">
        <f t="shared" ref="D39:AF39" si="26">D32+D34</f>
        <v>3.0560781041796297</v>
      </c>
      <c r="E39" s="81">
        <f t="shared" si="26"/>
        <v>3.1000808748204669</v>
      </c>
      <c r="F39" s="81">
        <f t="shared" si="26"/>
        <v>3.137458128580537</v>
      </c>
      <c r="G39" s="81">
        <f t="shared" si="26"/>
        <v>3.1676932759533969</v>
      </c>
      <c r="H39" s="81">
        <f t="shared" si="26"/>
        <v>3.1902415167874487</v>
      </c>
      <c r="I39" s="81">
        <f t="shared" si="26"/>
        <v>3.204528485448126</v>
      </c>
      <c r="J39" s="81">
        <f t="shared" si="26"/>
        <v>3.2099488349942931</v>
      </c>
      <c r="K39" s="81">
        <f t="shared" si="26"/>
        <v>3.2058647577255144</v>
      </c>
      <c r="L39" s="81">
        <f t="shared" si="26"/>
        <v>3.1916044393453262</v>
      </c>
      <c r="M39" s="81">
        <f t="shared" si="26"/>
        <v>8.1984746943837088</v>
      </c>
      <c r="N39" s="81">
        <f t="shared" si="26"/>
        <v>8.1617022767958183</v>
      </c>
      <c r="O39" s="81">
        <f t="shared" si="26"/>
        <v>8.1125176203434961</v>
      </c>
      <c r="P39" s="81">
        <f t="shared" si="26"/>
        <v>8.0500959952073714</v>
      </c>
      <c r="Q39" s="81">
        <f t="shared" si="26"/>
        <v>7.9735698351673179</v>
      </c>
      <c r="R39" s="81">
        <f t="shared" si="26"/>
        <v>7.882026728730203</v>
      </c>
      <c r="S39" s="81">
        <f t="shared" si="26"/>
        <v>7.7745073210402751</v>
      </c>
      <c r="T39" s="81">
        <f t="shared" si="26"/>
        <v>7.6500031227375871</v>
      </c>
      <c r="U39" s="81">
        <f t="shared" si="26"/>
        <v>7.5074542217684623</v>
      </c>
      <c r="V39" s="81">
        <f t="shared" si="26"/>
        <v>7.345746893984213</v>
      </c>
      <c r="W39" s="81">
        <f t="shared" si="26"/>
        <v>7.1637111081889486</v>
      </c>
      <c r="X39" s="81">
        <f t="shared" si="26"/>
        <v>6.96011792111522</v>
      </c>
      <c r="Y39" s="81">
        <f t="shared" si="26"/>
        <v>6.7336767576165215</v>
      </c>
      <c r="Z39" s="81">
        <f t="shared" si="26"/>
        <v>6.4830325711675769</v>
      </c>
      <c r="AA39" s="81">
        <f t="shared" si="26"/>
        <v>6.206762879558049</v>
      </c>
      <c r="AB39" s="81">
        <f t="shared" si="26"/>
        <v>5.9033746704504608</v>
      </c>
      <c r="AC39" s="81">
        <f t="shared" si="26"/>
        <v>5.5713011712498854</v>
      </c>
      <c r="AD39" s="81">
        <f t="shared" si="26"/>
        <v>5.2088984775007106</v>
      </c>
      <c r="AE39" s="81">
        <f t="shared" si="26"/>
        <v>4.8144420337835925</v>
      </c>
      <c r="AF39" s="82">
        <f t="shared" si="26"/>
        <v>4.3861229608332835</v>
      </c>
    </row>
    <row r="40" spans="2:33">
      <c r="B40" s="27" t="s">
        <v>431</v>
      </c>
      <c r="C40" s="84">
        <f>C39-E4</f>
        <v>-28.589060508093031</v>
      </c>
      <c r="D40" s="84">
        <f>D39</f>
        <v>3.0560781041796297</v>
      </c>
      <c r="E40" s="84">
        <f t="shared" ref="E40:AF40" si="27">E39</f>
        <v>3.1000808748204669</v>
      </c>
      <c r="F40" s="84">
        <f t="shared" si="27"/>
        <v>3.137458128580537</v>
      </c>
      <c r="G40" s="84">
        <f t="shared" si="27"/>
        <v>3.1676932759533969</v>
      </c>
      <c r="H40" s="84">
        <f t="shared" si="27"/>
        <v>3.1902415167874487</v>
      </c>
      <c r="I40" s="84">
        <f t="shared" si="27"/>
        <v>3.204528485448126</v>
      </c>
      <c r="J40" s="84">
        <f t="shared" si="27"/>
        <v>3.2099488349942931</v>
      </c>
      <c r="K40" s="84">
        <f t="shared" si="27"/>
        <v>3.2058647577255144</v>
      </c>
      <c r="L40" s="84">
        <f t="shared" si="27"/>
        <v>3.1916044393453262</v>
      </c>
      <c r="M40" s="84">
        <f t="shared" si="27"/>
        <v>8.1984746943837088</v>
      </c>
      <c r="N40" s="84">
        <f t="shared" si="27"/>
        <v>8.1617022767958183</v>
      </c>
      <c r="O40" s="84">
        <f t="shared" si="27"/>
        <v>8.1125176203434961</v>
      </c>
      <c r="P40" s="84">
        <f t="shared" si="27"/>
        <v>8.0500959952073714</v>
      </c>
      <c r="Q40" s="84">
        <f t="shared" si="27"/>
        <v>7.9735698351673179</v>
      </c>
      <c r="R40" s="84">
        <f t="shared" si="27"/>
        <v>7.882026728730203</v>
      </c>
      <c r="S40" s="84">
        <f t="shared" si="27"/>
        <v>7.7745073210402751</v>
      </c>
      <c r="T40" s="84">
        <f t="shared" si="27"/>
        <v>7.6500031227375871</v>
      </c>
      <c r="U40" s="84">
        <f t="shared" si="27"/>
        <v>7.5074542217684623</v>
      </c>
      <c r="V40" s="84">
        <f t="shared" si="27"/>
        <v>7.345746893984213</v>
      </c>
      <c r="W40" s="84">
        <f t="shared" si="27"/>
        <v>7.1637111081889486</v>
      </c>
      <c r="X40" s="84">
        <f t="shared" si="27"/>
        <v>6.96011792111522</v>
      </c>
      <c r="Y40" s="84">
        <f t="shared" si="27"/>
        <v>6.7336767576165215</v>
      </c>
      <c r="Z40" s="84">
        <f t="shared" si="27"/>
        <v>6.4830325711675769</v>
      </c>
      <c r="AA40" s="84">
        <f t="shared" si="27"/>
        <v>6.206762879558049</v>
      </c>
      <c r="AB40" s="84">
        <f t="shared" si="27"/>
        <v>5.9033746704504608</v>
      </c>
      <c r="AC40" s="84">
        <f t="shared" si="27"/>
        <v>5.5713011712498854</v>
      </c>
      <c r="AD40" s="84">
        <f t="shared" si="27"/>
        <v>5.2088984775007106</v>
      </c>
      <c r="AE40" s="84">
        <f t="shared" si="27"/>
        <v>4.8144420337835925</v>
      </c>
      <c r="AF40" s="85">
        <f t="shared" si="27"/>
        <v>4.3861229608332835</v>
      </c>
    </row>
    <row r="41" spans="2:33">
      <c r="B41" s="27" t="s">
        <v>432</v>
      </c>
      <c r="C41" s="84">
        <f>C40</f>
        <v>-28.589060508093031</v>
      </c>
      <c r="D41" s="84">
        <f>D40/(1+$E$5/100)^(D16-$C$16)</f>
        <v>2.657459221025765</v>
      </c>
      <c r="E41" s="84">
        <f t="shared" ref="E41:AF41" si="28">E40/(1+$E$5/100)^(E16-$C$16)</f>
        <v>2.3441065216033778</v>
      </c>
      <c r="F41" s="84">
        <f t="shared" si="28"/>
        <v>2.0629296481173918</v>
      </c>
      <c r="G41" s="84">
        <f t="shared" si="28"/>
        <v>1.8111389115695831</v>
      </c>
      <c r="H41" s="84">
        <f t="shared" si="28"/>
        <v>1.5861138621294482</v>
      </c>
      <c r="I41" s="84">
        <f t="shared" si="28"/>
        <v>1.3854060961438894</v>
      </c>
      <c r="J41" s="84">
        <f t="shared" si="28"/>
        <v>1.2067386633323343</v>
      </c>
      <c r="K41" s="84">
        <f t="shared" si="28"/>
        <v>1.0480028760113849</v>
      </c>
      <c r="L41" s="84">
        <f t="shared" si="28"/>
        <v>0.90725317620633938</v>
      </c>
      <c r="M41" s="84">
        <f t="shared" si="28"/>
        <v>2.026537557978791</v>
      </c>
      <c r="N41" s="84">
        <f t="shared" si="28"/>
        <v>1.7543025902121201</v>
      </c>
      <c r="O41" s="84">
        <f t="shared" si="28"/>
        <v>1.516287549257517</v>
      </c>
      <c r="P41" s="84">
        <f t="shared" si="28"/>
        <v>1.3083656532115682</v>
      </c>
      <c r="Q41" s="84">
        <f t="shared" si="28"/>
        <v>1.1268939241629401</v>
      </c>
      <c r="R41" s="84">
        <f t="shared" si="28"/>
        <v>0.96865761720200083</v>
      </c>
      <c r="S41" s="84">
        <f t="shared" si="28"/>
        <v>0.83082093473423002</v>
      </c>
      <c r="T41" s="84">
        <f t="shared" si="28"/>
        <v>0.7108833236960701</v>
      </c>
      <c r="U41" s="84">
        <f t="shared" si="28"/>
        <v>0.60664073101791116</v>
      </c>
      <c r="V41" s="84">
        <f t="shared" si="28"/>
        <v>0.51615126188650828</v>
      </c>
      <c r="W41" s="84">
        <f t="shared" si="28"/>
        <v>0.43770474695988426</v>
      </c>
      <c r="X41" s="84">
        <f t="shared" si="28"/>
        <v>0.36979577951242015</v>
      </c>
      <c r="Y41" s="84">
        <f t="shared" si="28"/>
        <v>0.31109983227666488</v>
      </c>
      <c r="Z41" s="84">
        <f t="shared" si="28"/>
        <v>0.26045210716135836</v>
      </c>
      <c r="AA41" s="84">
        <f t="shared" si="28"/>
        <v>0.21682880965054763</v>
      </c>
      <c r="AB41" s="84">
        <f t="shared" si="28"/>
        <v>0.17933057405057232</v>
      </c>
      <c r="AC41" s="84">
        <f t="shared" si="28"/>
        <v>0.14716779631736956</v>
      </c>
      <c r="AD41" s="84">
        <f t="shared" si="28"/>
        <v>0.11964765838224925</v>
      </c>
      <c r="AE41" s="84">
        <f t="shared" si="28"/>
        <v>9.6162652070909654E-2</v>
      </c>
      <c r="AF41" s="85">
        <f t="shared" si="28"/>
        <v>7.6180432208495436E-2</v>
      </c>
    </row>
    <row r="42" spans="2:33" ht="15.75" thickBot="1">
      <c r="B42" s="29" t="s">
        <v>433</v>
      </c>
      <c r="C42" s="87">
        <f>C41</f>
        <v>-28.589060508093031</v>
      </c>
      <c r="D42" s="87">
        <f>D41+C42</f>
        <v>-25.931601287067267</v>
      </c>
      <c r="E42" s="87">
        <f t="shared" ref="E42:AF42" si="29">E41+D42</f>
        <v>-23.587494765463887</v>
      </c>
      <c r="F42" s="87">
        <f t="shared" si="29"/>
        <v>-21.524565117346494</v>
      </c>
      <c r="G42" s="87">
        <f t="shared" si="29"/>
        <v>-19.713426205776912</v>
      </c>
      <c r="H42" s="87">
        <f t="shared" si="29"/>
        <v>-18.127312343647464</v>
      </c>
      <c r="I42" s="87">
        <f t="shared" si="29"/>
        <v>-16.741906247503575</v>
      </c>
      <c r="J42" s="87">
        <f t="shared" si="29"/>
        <v>-15.535167584171241</v>
      </c>
      <c r="K42" s="87">
        <f t="shared" si="29"/>
        <v>-14.487164708159856</v>
      </c>
      <c r="L42" s="87">
        <f t="shared" si="29"/>
        <v>-13.579911531953517</v>
      </c>
      <c r="M42" s="87">
        <f t="shared" si="29"/>
        <v>-11.553373973974725</v>
      </c>
      <c r="N42" s="87">
        <f t="shared" si="29"/>
        <v>-9.7990713837626053</v>
      </c>
      <c r="O42" s="87">
        <f t="shared" si="29"/>
        <v>-8.2827838345050893</v>
      </c>
      <c r="P42" s="87">
        <f t="shared" si="29"/>
        <v>-6.9744181812935206</v>
      </c>
      <c r="Q42" s="87">
        <f t="shared" si="29"/>
        <v>-5.8475242571305808</v>
      </c>
      <c r="R42" s="87">
        <f t="shared" si="29"/>
        <v>-4.8788666399285798</v>
      </c>
      <c r="S42" s="87">
        <f t="shared" si="29"/>
        <v>-4.0480457051943501</v>
      </c>
      <c r="T42" s="87">
        <f t="shared" si="29"/>
        <v>-3.3371623814982803</v>
      </c>
      <c r="U42" s="87">
        <f t="shared" si="29"/>
        <v>-2.7305216504803691</v>
      </c>
      <c r="V42" s="87">
        <f t="shared" si="29"/>
        <v>-2.2143703885938608</v>
      </c>
      <c r="W42" s="87">
        <f t="shared" si="29"/>
        <v>-1.7766656416339766</v>
      </c>
      <c r="X42" s="87">
        <f t="shared" si="29"/>
        <v>-1.4068698621215563</v>
      </c>
      <c r="Y42" s="87">
        <f t="shared" si="29"/>
        <v>-1.0957700298448914</v>
      </c>
      <c r="Z42" s="87">
        <f t="shared" si="29"/>
        <v>-0.835317922683533</v>
      </c>
      <c r="AA42" s="87">
        <f t="shared" si="29"/>
        <v>-0.61848911303298537</v>
      </c>
      <c r="AB42" s="87">
        <f t="shared" si="29"/>
        <v>-0.43915853898241308</v>
      </c>
      <c r="AC42" s="87">
        <f t="shared" si="29"/>
        <v>-0.29199074266504355</v>
      </c>
      <c r="AD42" s="87">
        <f t="shared" si="29"/>
        <v>-0.1723430842827943</v>
      </c>
      <c r="AE42" s="87">
        <f t="shared" si="29"/>
        <v>-7.6180432211884641E-2</v>
      </c>
      <c r="AF42" s="88">
        <f t="shared" si="29"/>
        <v>-3.389205582848831E-12</v>
      </c>
    </row>
    <row r="43" spans="2:33">
      <c r="B43" s="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2:33">
      <c r="C44" s="74" t="s">
        <v>446</v>
      </c>
      <c r="E44" s="74"/>
      <c r="F44" s="74" t="s">
        <v>447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2:33">
      <c r="C45" s="74" t="s">
        <v>445</v>
      </c>
      <c r="D45" s="74" t="s">
        <v>444</v>
      </c>
      <c r="E45" s="74"/>
      <c r="F45" s="74" t="s">
        <v>445</v>
      </c>
      <c r="G45" s="74" t="s">
        <v>444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2:33">
      <c r="B46" t="s">
        <v>285</v>
      </c>
      <c r="C46" s="74">
        <v>92.41</v>
      </c>
      <c r="D46" s="74"/>
      <c r="E46" s="74"/>
      <c r="F46" s="74">
        <v>90.95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2:33">
      <c r="B47" t="s">
        <v>286</v>
      </c>
      <c r="C47" s="74">
        <v>96.57</v>
      </c>
      <c r="D47" s="74"/>
      <c r="E47" s="74"/>
      <c r="F47" s="74">
        <v>67.17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2:33">
      <c r="B48" t="s">
        <v>287</v>
      </c>
      <c r="C48" s="74">
        <v>91.93</v>
      </c>
      <c r="D48" s="74"/>
      <c r="E48" s="74"/>
      <c r="F48" s="74">
        <v>86.03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2:26">
      <c r="B49" t="s">
        <v>288</v>
      </c>
      <c r="C49" s="74">
        <v>40.479999999999997</v>
      </c>
      <c r="D49" s="74"/>
      <c r="E49" s="74"/>
      <c r="F49" s="74">
        <v>0.85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2:26">
      <c r="B50" t="s">
        <v>289</v>
      </c>
      <c r="C50" s="74">
        <v>51.28</v>
      </c>
      <c r="D50" s="74"/>
      <c r="E50" s="74"/>
      <c r="F50" s="74">
        <v>-1.92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2:26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2:26"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2:26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2:26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2:26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2:26"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4"/>
  <sheetViews>
    <sheetView workbookViewId="0">
      <selection activeCell="P50" sqref="P50"/>
    </sheetView>
  </sheetViews>
  <sheetFormatPr defaultRowHeight="15"/>
  <cols>
    <col min="2" max="2" width="30.7109375" bestFit="1" customWidth="1"/>
    <col min="3" max="3" width="15.28515625" customWidth="1"/>
    <col min="4" max="4" width="22.7109375" customWidth="1"/>
    <col min="5" max="5" width="12.5703125" customWidth="1"/>
    <col min="6" max="6" width="19.85546875" customWidth="1"/>
    <col min="7" max="7" width="12.5703125" customWidth="1"/>
    <col min="8" max="8" width="11.85546875" customWidth="1"/>
    <col min="9" max="9" width="11" customWidth="1"/>
    <col min="10" max="10" width="15.140625" customWidth="1"/>
    <col min="11" max="11" width="11.140625" customWidth="1"/>
    <col min="12" max="12" width="11.42578125" customWidth="1"/>
    <col min="13" max="13" width="13.42578125" customWidth="1"/>
    <col min="14" max="14" width="8.7109375" bestFit="1" customWidth="1"/>
    <col min="15" max="15" width="10.42578125" customWidth="1"/>
    <col min="16" max="16" width="11.5703125" customWidth="1"/>
    <col min="17" max="29" width="7.7109375" bestFit="1" customWidth="1"/>
    <col min="30" max="32" width="8.7109375" bestFit="1" customWidth="1"/>
  </cols>
  <sheetData>
    <row r="1" spans="2:26" ht="15.75" thickBot="1">
      <c r="B1" s="121" t="s">
        <v>354</v>
      </c>
    </row>
    <row r="2" spans="2:26">
      <c r="B2" t="s">
        <v>365</v>
      </c>
      <c r="C2" s="74">
        <f>FCI!D44*G9*G10</f>
        <v>165.63618519901624</v>
      </c>
      <c r="D2" s="74"/>
      <c r="E2" s="74"/>
      <c r="F2" s="74"/>
      <c r="G2" s="74" t="s">
        <v>285</v>
      </c>
      <c r="H2" s="74" t="s">
        <v>286</v>
      </c>
      <c r="I2" s="74" t="s">
        <v>287</v>
      </c>
      <c r="J2" s="74" t="s">
        <v>288</v>
      </c>
      <c r="K2" s="74" t="s">
        <v>289</v>
      </c>
      <c r="M2" s="74"/>
      <c r="N2" s="74"/>
      <c r="O2" s="80"/>
      <c r="P2" s="81" t="s">
        <v>374</v>
      </c>
      <c r="Q2" s="81" t="s">
        <v>416</v>
      </c>
      <c r="R2" s="82" t="s">
        <v>375</v>
      </c>
      <c r="S2" s="74"/>
      <c r="T2" s="74"/>
      <c r="U2" s="74"/>
      <c r="V2" s="74"/>
      <c r="W2" s="74"/>
      <c r="X2" s="74"/>
      <c r="Y2" s="74"/>
      <c r="Z2" s="74"/>
    </row>
    <row r="3" spans="2:26">
      <c r="B3" t="s">
        <v>366</v>
      </c>
      <c r="C3" s="74">
        <f>C2*E3/100</f>
        <v>149.0725666791146</v>
      </c>
      <c r="D3" s="74" t="s">
        <v>436</v>
      </c>
      <c r="E3" s="74">
        <v>90</v>
      </c>
      <c r="F3" t="s">
        <v>417</v>
      </c>
      <c r="G3" s="74">
        <v>25.7</v>
      </c>
      <c r="H3" s="30">
        <v>25.7</v>
      </c>
      <c r="I3" s="30">
        <v>20</v>
      </c>
      <c r="J3" s="30">
        <v>30</v>
      </c>
      <c r="K3" s="30">
        <v>25</v>
      </c>
      <c r="M3" s="74"/>
      <c r="N3" s="74"/>
      <c r="O3" s="83">
        <v>2018</v>
      </c>
      <c r="P3" s="84">
        <f>E4</f>
        <v>82.81809259950812</v>
      </c>
      <c r="Q3" s="84">
        <f>P3*$C$6/100</f>
        <v>7.8677187969532714</v>
      </c>
      <c r="R3" s="85">
        <f>P3+Q3-$C$8</f>
        <v>77.495692005380477</v>
      </c>
      <c r="S3" s="74"/>
      <c r="T3" s="74"/>
      <c r="U3" s="74"/>
      <c r="V3" s="74"/>
      <c r="W3" s="74"/>
      <c r="X3" s="74"/>
      <c r="Y3" s="74"/>
      <c r="Z3" s="74"/>
    </row>
    <row r="4" spans="2:26">
      <c r="B4" t="s">
        <v>367</v>
      </c>
      <c r="C4" s="74">
        <v>0.5</v>
      </c>
      <c r="D4" s="74" t="s">
        <v>369</v>
      </c>
      <c r="E4" s="74">
        <f>C4*C2</f>
        <v>82.81809259950812</v>
      </c>
      <c r="F4" t="s">
        <v>418</v>
      </c>
      <c r="G4" s="74">
        <v>0</v>
      </c>
      <c r="H4" s="30">
        <v>0</v>
      </c>
      <c r="I4" s="30">
        <v>29.3</v>
      </c>
      <c r="J4" s="30">
        <v>3.7</v>
      </c>
      <c r="K4" s="30">
        <v>0</v>
      </c>
      <c r="M4" s="74"/>
      <c r="N4" s="74"/>
      <c r="O4" s="83" t="s">
        <v>376</v>
      </c>
      <c r="P4" s="84">
        <f>R3</f>
        <v>77.495692005380477</v>
      </c>
      <c r="Q4" s="84">
        <f t="shared" ref="Q4:Q12" si="0">P4*$C$6/100</f>
        <v>7.3620907405111451</v>
      </c>
      <c r="R4" s="85">
        <f t="shared" ref="R4:R12" si="1">P4+Q4-$C$8</f>
        <v>71.667663354810713</v>
      </c>
      <c r="T4" s="74"/>
      <c r="U4" s="74"/>
      <c r="V4" s="74"/>
      <c r="W4" s="74"/>
      <c r="X4" s="74"/>
      <c r="Y4" s="74"/>
      <c r="Z4" s="74"/>
    </row>
    <row r="5" spans="2:26">
      <c r="B5" t="s">
        <v>368</v>
      </c>
      <c r="C5" s="74">
        <v>0.5</v>
      </c>
      <c r="D5" s="74" t="s">
        <v>368</v>
      </c>
      <c r="E5" s="74">
        <f>C5*C2</f>
        <v>82.81809259950812</v>
      </c>
      <c r="F5" t="s">
        <v>422</v>
      </c>
      <c r="G5" s="74">
        <f>G4*G11/1000000</f>
        <v>0</v>
      </c>
      <c r="H5" s="30">
        <f>H4*H11/1000000</f>
        <v>0</v>
      </c>
      <c r="I5" s="30">
        <f>I4*I11/1000000</f>
        <v>1.7894138125078802</v>
      </c>
      <c r="J5" s="30">
        <f>J4*J11/1000000</f>
        <v>0.67869366229267214</v>
      </c>
      <c r="K5" s="30">
        <f>K4*K11/1000000</f>
        <v>0</v>
      </c>
      <c r="M5" s="74"/>
      <c r="N5" s="74"/>
      <c r="O5" s="83" t="s">
        <v>377</v>
      </c>
      <c r="P5" s="84">
        <f t="shared" ref="P5:P12" si="2">R4</f>
        <v>71.667663354810713</v>
      </c>
      <c r="Q5" s="84">
        <f t="shared" si="0"/>
        <v>6.8084280187070183</v>
      </c>
      <c r="R5" s="85">
        <f t="shared" si="1"/>
        <v>65.28597198243682</v>
      </c>
      <c r="S5" s="74"/>
      <c r="T5" s="74"/>
      <c r="U5" s="74"/>
      <c r="V5" s="74"/>
      <c r="W5" s="74"/>
      <c r="X5" s="74"/>
      <c r="Y5" s="74"/>
      <c r="Z5" s="74"/>
    </row>
    <row r="6" spans="2:26">
      <c r="B6" t="s">
        <v>370</v>
      </c>
      <c r="C6" s="74">
        <v>9.5</v>
      </c>
      <c r="D6" s="74" t="s">
        <v>371</v>
      </c>
      <c r="E6" s="74">
        <v>15</v>
      </c>
      <c r="F6" s="74" t="s">
        <v>394</v>
      </c>
      <c r="G6" s="74">
        <v>489.02471654170438</v>
      </c>
      <c r="H6" s="30">
        <v>495.5</v>
      </c>
      <c r="I6" s="30">
        <v>474.7</v>
      </c>
      <c r="J6" s="30">
        <v>495.5</v>
      </c>
      <c r="K6" s="30">
        <v>475.42</v>
      </c>
      <c r="M6" s="74"/>
      <c r="N6" s="74"/>
      <c r="O6" s="83" t="s">
        <v>378</v>
      </c>
      <c r="P6" s="84">
        <f t="shared" si="2"/>
        <v>65.28597198243682</v>
      </c>
      <c r="Q6" s="84">
        <f t="shared" si="0"/>
        <v>6.2021673383314972</v>
      </c>
      <c r="R6" s="85">
        <f t="shared" si="1"/>
        <v>58.298019929687392</v>
      </c>
      <c r="S6" s="74"/>
      <c r="T6" s="74"/>
      <c r="U6" s="74"/>
      <c r="V6" s="74"/>
      <c r="W6" s="74"/>
      <c r="X6" s="74"/>
      <c r="Y6" s="74"/>
      <c r="Z6" s="74"/>
    </row>
    <row r="7" spans="2:26">
      <c r="B7" t="s">
        <v>372</v>
      </c>
      <c r="C7" s="74">
        <v>10</v>
      </c>
      <c r="D7" s="74" t="s">
        <v>373</v>
      </c>
      <c r="E7" s="74">
        <v>30</v>
      </c>
      <c r="F7" s="74" t="s">
        <v>420</v>
      </c>
      <c r="G7" s="74">
        <v>588</v>
      </c>
      <c r="H7" s="30">
        <v>588</v>
      </c>
      <c r="I7" s="30">
        <v>285</v>
      </c>
      <c r="J7" s="30">
        <v>856</v>
      </c>
      <c r="K7" s="30">
        <v>1064</v>
      </c>
      <c r="M7" s="74"/>
      <c r="N7" s="74"/>
      <c r="O7" s="83" t="s">
        <v>379</v>
      </c>
      <c r="P7" s="84">
        <f t="shared" si="2"/>
        <v>58.298019929687392</v>
      </c>
      <c r="Q7" s="84">
        <f t="shared" si="0"/>
        <v>5.5383118933203024</v>
      </c>
      <c r="R7" s="85">
        <f t="shared" si="1"/>
        <v>50.646212431926777</v>
      </c>
      <c r="S7" s="74"/>
      <c r="T7" s="74"/>
      <c r="U7" s="74"/>
      <c r="V7" s="74"/>
      <c r="W7" s="74"/>
      <c r="X7" s="74"/>
      <c r="Y7" s="74"/>
      <c r="Z7" s="74"/>
    </row>
    <row r="8" spans="2:26">
      <c r="B8" t="s">
        <v>386</v>
      </c>
      <c r="C8" s="74">
        <v>13.19011939108092</v>
      </c>
      <c r="D8" s="74"/>
      <c r="E8" s="74"/>
      <c r="F8" s="74" t="s">
        <v>429</v>
      </c>
      <c r="G8" s="150">
        <v>89</v>
      </c>
      <c r="H8" s="30">
        <v>69.3</v>
      </c>
      <c r="I8" s="30">
        <v>75.37</v>
      </c>
      <c r="J8" s="30">
        <v>75.760000000000005</v>
      </c>
      <c r="K8" s="30">
        <v>79.61</v>
      </c>
      <c r="M8" s="74"/>
      <c r="N8" s="74"/>
      <c r="O8" s="83" t="s">
        <v>380</v>
      </c>
      <c r="P8" s="84">
        <f t="shared" si="2"/>
        <v>50.646212431926777</v>
      </c>
      <c r="Q8" s="84">
        <f t="shared" si="0"/>
        <v>4.8113901810330439</v>
      </c>
      <c r="R8" s="85">
        <f t="shared" si="1"/>
        <v>42.267483221878898</v>
      </c>
      <c r="S8" s="74"/>
      <c r="T8" s="74"/>
      <c r="U8" s="74"/>
      <c r="V8" s="74"/>
      <c r="W8" s="74"/>
      <c r="X8" s="74"/>
      <c r="Y8" s="74"/>
      <c r="Z8" s="74"/>
    </row>
    <row r="9" spans="2:26">
      <c r="B9" t="s">
        <v>396</v>
      </c>
      <c r="C9" s="74">
        <f>C3/7</f>
        <v>21.29608095415923</v>
      </c>
      <c r="D9" s="74"/>
      <c r="E9" s="74"/>
      <c r="F9" s="74" t="s">
        <v>279</v>
      </c>
      <c r="G9" s="74">
        <v>1</v>
      </c>
      <c r="H9" s="30">
        <v>1</v>
      </c>
      <c r="I9" s="30">
        <v>0.88</v>
      </c>
      <c r="J9" s="30">
        <v>9.0399999999999991</v>
      </c>
      <c r="K9" s="30">
        <v>3.54</v>
      </c>
      <c r="M9" s="74"/>
      <c r="N9" s="74"/>
      <c r="O9" s="83" t="s">
        <v>381</v>
      </c>
      <c r="P9" s="84">
        <f t="shared" si="2"/>
        <v>42.267483221878898</v>
      </c>
      <c r="Q9" s="84">
        <f t="shared" si="0"/>
        <v>4.015410906078495</v>
      </c>
      <c r="R9" s="85">
        <f t="shared" si="1"/>
        <v>33.092774736876471</v>
      </c>
      <c r="S9" s="74"/>
      <c r="T9" s="74"/>
      <c r="U9" s="74"/>
      <c r="V9" s="74"/>
      <c r="W9" s="74"/>
      <c r="X9" s="74"/>
      <c r="Y9" s="74"/>
      <c r="Z9" s="74"/>
    </row>
    <row r="10" spans="2:26">
      <c r="B10" t="s">
        <v>397</v>
      </c>
      <c r="C10" s="74">
        <f>'NG utility'!I1/1000*'NG utility'!I18*CashflowMeOHvsCCPP!G6/1000000</f>
        <v>88.046419348562111</v>
      </c>
      <c r="D10" s="74" t="s">
        <v>398</v>
      </c>
      <c r="E10" s="74">
        <v>3</v>
      </c>
      <c r="F10" s="74" t="s">
        <v>435</v>
      </c>
      <c r="G10" s="74">
        <v>1</v>
      </c>
      <c r="H10" s="30">
        <v>1</v>
      </c>
      <c r="I10" s="30">
        <f>1/0.85</f>
        <v>1.1764705882352942</v>
      </c>
      <c r="J10" s="30">
        <f>1/19.2</f>
        <v>5.2083333333333336E-2</v>
      </c>
      <c r="K10" s="30">
        <f>1/6.61</f>
        <v>0.15128593040847199</v>
      </c>
      <c r="M10" s="74"/>
      <c r="N10" s="74"/>
      <c r="O10" s="83" t="s">
        <v>382</v>
      </c>
      <c r="P10" s="84">
        <f t="shared" si="2"/>
        <v>33.092774736876471</v>
      </c>
      <c r="Q10" s="84">
        <f t="shared" si="0"/>
        <v>3.1438136000032646</v>
      </c>
      <c r="R10" s="85">
        <f t="shared" si="1"/>
        <v>23.046468945798814</v>
      </c>
      <c r="S10" s="74"/>
      <c r="T10" s="74"/>
      <c r="U10" s="74"/>
      <c r="V10" s="74"/>
      <c r="W10" s="74"/>
      <c r="X10" s="74"/>
      <c r="Y10" s="74"/>
      <c r="Z10" s="74"/>
    </row>
    <row r="11" spans="2:26">
      <c r="B11" t="s">
        <v>395</v>
      </c>
      <c r="C11" s="74">
        <f>'Maintenance &amp; Operations cost'!I30/1000000*G9*G10+0.1155*CashflowMeOHvsCCPP!C10+G8*C15/1000/1000000</f>
        <v>66.982798289905773</v>
      </c>
      <c r="D11" s="74" t="s">
        <v>398</v>
      </c>
      <c r="E11" s="74">
        <v>4</v>
      </c>
      <c r="F11" s="74" t="s">
        <v>419</v>
      </c>
      <c r="G11" s="74">
        <f>-'NG utility'!I6/1000*'NG utility'!I18-G7/1000000*C15</f>
        <v>71836.707727180401</v>
      </c>
      <c r="H11" s="30">
        <f t="shared" ref="H11:J11" si="3">H7/1000000*$C$15</f>
        <v>126001.47557088001</v>
      </c>
      <c r="I11" s="30">
        <f t="shared" si="3"/>
        <v>61072.1437716</v>
      </c>
      <c r="J11" s="30">
        <f t="shared" si="3"/>
        <v>183430.71953856002</v>
      </c>
      <c r="K11" s="30">
        <f>K7/1000000*$C$15</f>
        <v>228002.67008064003</v>
      </c>
      <c r="M11" s="74"/>
      <c r="N11" s="74"/>
      <c r="O11" s="83" t="s">
        <v>383</v>
      </c>
      <c r="P11" s="84">
        <f t="shared" si="2"/>
        <v>23.046468945798814</v>
      </c>
      <c r="Q11" s="84">
        <f t="shared" si="0"/>
        <v>2.1894145498508872</v>
      </c>
      <c r="R11" s="85">
        <f t="shared" si="1"/>
        <v>12.045764104568782</v>
      </c>
      <c r="S11" s="74"/>
      <c r="T11" s="74"/>
      <c r="U11" s="74"/>
      <c r="V11" s="74"/>
      <c r="W11" s="74"/>
      <c r="X11" s="74"/>
      <c r="Y11" s="74"/>
      <c r="Z11" s="74"/>
    </row>
    <row r="12" spans="2:26">
      <c r="F12" s="74" t="s">
        <v>459</v>
      </c>
      <c r="G12" s="74">
        <f>(0-AF42)*1000000/(G11*E7)</f>
        <v>9.1141956827374209</v>
      </c>
      <c r="H12" s="30"/>
      <c r="I12" s="30"/>
      <c r="J12" s="30"/>
      <c r="K12" s="30"/>
      <c r="M12" s="74"/>
      <c r="N12" s="74"/>
      <c r="O12" s="83" t="s">
        <v>384</v>
      </c>
      <c r="P12" s="84">
        <f t="shared" si="2"/>
        <v>12.045764104568782</v>
      </c>
      <c r="Q12" s="84">
        <f t="shared" si="0"/>
        <v>1.1443475899340343</v>
      </c>
      <c r="R12" s="85">
        <f t="shared" si="1"/>
        <v>-7.6965781037330316E-6</v>
      </c>
      <c r="S12" s="74"/>
      <c r="T12" s="74"/>
      <c r="U12" s="74"/>
      <c r="V12" s="74"/>
      <c r="W12" s="74"/>
      <c r="X12" s="74"/>
      <c r="Y12" s="74"/>
      <c r="Z12" s="74"/>
    </row>
    <row r="13" spans="2:26" ht="15.75" thickBot="1">
      <c r="F13" s="74"/>
      <c r="G13" s="74"/>
      <c r="H13" s="74"/>
      <c r="M13" s="74"/>
      <c r="N13" s="74"/>
      <c r="O13" s="86"/>
      <c r="P13" s="87"/>
      <c r="Q13" s="87"/>
      <c r="R13" s="88"/>
      <c r="S13" s="74"/>
      <c r="T13" s="74"/>
      <c r="U13" s="74"/>
      <c r="V13" s="74"/>
      <c r="W13" s="74"/>
      <c r="X13" s="74"/>
      <c r="Y13" s="74"/>
      <c r="Z13" s="74"/>
    </row>
    <row r="14" spans="2:26"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26">
      <c r="B15" s="74" t="s">
        <v>421</v>
      </c>
      <c r="C15" s="74">
        <f>'NG utility'!O3</f>
        <v>214288223.76000002</v>
      </c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26" ht="15.75" thickBot="1">
      <c r="B16" t="s">
        <v>434</v>
      </c>
      <c r="C16" s="74"/>
      <c r="D16" s="74"/>
      <c r="E16" s="74"/>
      <c r="F16" s="74"/>
      <c r="G16" s="74"/>
      <c r="H16" s="74"/>
      <c r="I16" s="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2:33">
      <c r="B17" s="25" t="s">
        <v>399</v>
      </c>
      <c r="C17" s="94">
        <v>2018</v>
      </c>
      <c r="D17" s="94" t="s">
        <v>376</v>
      </c>
      <c r="E17" s="94" t="s">
        <v>377</v>
      </c>
      <c r="F17" s="94" t="s">
        <v>378</v>
      </c>
      <c r="G17" s="94" t="s">
        <v>379</v>
      </c>
      <c r="H17" s="94" t="s">
        <v>380</v>
      </c>
      <c r="I17" s="94" t="s">
        <v>381</v>
      </c>
      <c r="J17" s="94" t="s">
        <v>382</v>
      </c>
      <c r="K17" s="94" t="s">
        <v>383</v>
      </c>
      <c r="L17" s="94" t="s">
        <v>384</v>
      </c>
      <c r="M17" s="94" t="s">
        <v>385</v>
      </c>
      <c r="N17" s="94" t="s">
        <v>387</v>
      </c>
      <c r="O17" s="94" t="s">
        <v>388</v>
      </c>
      <c r="P17" s="94" t="s">
        <v>389</v>
      </c>
      <c r="Q17" s="94" t="s">
        <v>390</v>
      </c>
      <c r="R17" s="94" t="s">
        <v>391</v>
      </c>
      <c r="S17" s="94" t="s">
        <v>392</v>
      </c>
      <c r="T17" s="94" t="s">
        <v>393</v>
      </c>
      <c r="U17" s="94" t="s">
        <v>400</v>
      </c>
      <c r="V17" s="94" t="s">
        <v>401</v>
      </c>
      <c r="W17" s="94" t="s">
        <v>402</v>
      </c>
      <c r="X17" s="94" t="s">
        <v>403</v>
      </c>
      <c r="Y17" s="94" t="s">
        <v>404</v>
      </c>
      <c r="Z17" s="94" t="s">
        <v>405</v>
      </c>
      <c r="AA17" s="94" t="s">
        <v>406</v>
      </c>
      <c r="AB17" s="94" t="s">
        <v>407</v>
      </c>
      <c r="AC17" s="94" t="s">
        <v>408</v>
      </c>
      <c r="AD17" s="94" t="s">
        <v>409</v>
      </c>
      <c r="AE17" s="94" t="s">
        <v>410</v>
      </c>
      <c r="AF17" s="95" t="s">
        <v>411</v>
      </c>
      <c r="AG17" s="1"/>
    </row>
    <row r="18" spans="2:33">
      <c r="B18" s="96" t="s">
        <v>412</v>
      </c>
      <c r="C18" s="84">
        <f>-C8</f>
        <v>-13.19011939108092</v>
      </c>
      <c r="D18" s="84">
        <f>-$C$8</f>
        <v>-13.19011939108092</v>
      </c>
      <c r="E18" s="84">
        <f t="shared" ref="E18:L18" si="4">-$C$8</f>
        <v>-13.19011939108092</v>
      </c>
      <c r="F18" s="84">
        <f t="shared" si="4"/>
        <v>-13.19011939108092</v>
      </c>
      <c r="G18" s="84">
        <f t="shared" si="4"/>
        <v>-13.19011939108092</v>
      </c>
      <c r="H18" s="84">
        <f t="shared" si="4"/>
        <v>-13.19011939108092</v>
      </c>
      <c r="I18" s="84">
        <f t="shared" si="4"/>
        <v>-13.19011939108092</v>
      </c>
      <c r="J18" s="84">
        <f t="shared" si="4"/>
        <v>-13.19011939108092</v>
      </c>
      <c r="K18" s="84">
        <f t="shared" si="4"/>
        <v>-13.19011939108092</v>
      </c>
      <c r="L18" s="84">
        <f t="shared" si="4"/>
        <v>-13.19011939108092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2"/>
      <c r="AB18" s="2"/>
      <c r="AC18" s="2"/>
      <c r="AD18" s="2"/>
      <c r="AE18" s="2"/>
      <c r="AF18" s="28"/>
    </row>
    <row r="19" spans="2:33">
      <c r="B19" s="96" t="s">
        <v>414</v>
      </c>
      <c r="C19" s="84">
        <f>C10</f>
        <v>88.046419348562111</v>
      </c>
      <c r="D19" s="84">
        <f>$C$10*(1+$E$10/100)^(D17-$C$17)</f>
        <v>90.687811929018977</v>
      </c>
      <c r="E19" s="84">
        <f t="shared" ref="E19:AF19" si="5">$C$10*(1+$E$10/100)^(E17-$C$17)</f>
        <v>93.408446286889543</v>
      </c>
      <c r="F19" s="84">
        <f t="shared" si="5"/>
        <v>96.21069967549623</v>
      </c>
      <c r="G19" s="84">
        <f t="shared" si="5"/>
        <v>99.097020665761107</v>
      </c>
      <c r="H19" s="84">
        <f t="shared" si="5"/>
        <v>102.06993128573394</v>
      </c>
      <c r="I19" s="84">
        <f t="shared" si="5"/>
        <v>105.13202922430597</v>
      </c>
      <c r="J19" s="84">
        <f t="shared" si="5"/>
        <v>108.28599010103514</v>
      </c>
      <c r="K19" s="84">
        <f t="shared" si="5"/>
        <v>111.53456980406619</v>
      </c>
      <c r="L19" s="84">
        <f t="shared" si="5"/>
        <v>114.88060689818818</v>
      </c>
      <c r="M19" s="84">
        <f t="shared" si="5"/>
        <v>118.32702510513383</v>
      </c>
      <c r="N19" s="84">
        <f t="shared" si="5"/>
        <v>121.87683585828783</v>
      </c>
      <c r="O19" s="84">
        <f t="shared" si="5"/>
        <v>125.53314093403645</v>
      </c>
      <c r="P19" s="84">
        <f t="shared" si="5"/>
        <v>129.29913516205755</v>
      </c>
      <c r="Q19" s="84">
        <f t="shared" si="5"/>
        <v>133.1781092169193</v>
      </c>
      <c r="R19" s="84">
        <f t="shared" si="5"/>
        <v>137.17345249342688</v>
      </c>
      <c r="S19" s="84">
        <f t="shared" si="5"/>
        <v>141.28865606822964</v>
      </c>
      <c r="T19" s="84">
        <f t="shared" si="5"/>
        <v>145.52731575027653</v>
      </c>
      <c r="U19" s="84">
        <f t="shared" si="5"/>
        <v>149.89313522278485</v>
      </c>
      <c r="V19" s="84">
        <f t="shared" si="5"/>
        <v>154.38992927946839</v>
      </c>
      <c r="W19" s="84">
        <f t="shared" si="5"/>
        <v>159.02162715785244</v>
      </c>
      <c r="X19" s="84">
        <f t="shared" si="5"/>
        <v>163.79227597258799</v>
      </c>
      <c r="Y19" s="84">
        <f t="shared" si="5"/>
        <v>168.70604425176563</v>
      </c>
      <c r="Z19" s="84">
        <f t="shared" si="5"/>
        <v>173.76722557931862</v>
      </c>
      <c r="AA19" s="84">
        <f t="shared" si="5"/>
        <v>178.98024234669816</v>
      </c>
      <c r="AB19" s="84">
        <f t="shared" si="5"/>
        <v>184.34964961709909</v>
      </c>
      <c r="AC19" s="84">
        <f t="shared" si="5"/>
        <v>189.8801391056121</v>
      </c>
      <c r="AD19" s="84">
        <f t="shared" si="5"/>
        <v>195.57654327878043</v>
      </c>
      <c r="AE19" s="84">
        <f t="shared" si="5"/>
        <v>201.44383957714385</v>
      </c>
      <c r="AF19" s="85">
        <f t="shared" si="5"/>
        <v>207.48715476445813</v>
      </c>
      <c r="AG19" s="74"/>
    </row>
    <row r="20" spans="2:33">
      <c r="B20" s="96" t="s">
        <v>413</v>
      </c>
      <c r="C20" s="84">
        <f>-C11</f>
        <v>-66.982798289905773</v>
      </c>
      <c r="D20" s="84">
        <f>-$C$11*(1+$E$11/100)^(D17-$C$17)</f>
        <v>-69.662110221502004</v>
      </c>
      <c r="E20" s="84">
        <f t="shared" ref="E20:AF20" si="6">-$C$11*(1+$E$11/100)^(E17-$C$17)</f>
        <v>-72.448594630362095</v>
      </c>
      <c r="F20" s="84">
        <f t="shared" si="6"/>
        <v>-75.346538415576575</v>
      </c>
      <c r="G20" s="84">
        <f t="shared" si="6"/>
        <v>-78.360399952199643</v>
      </c>
      <c r="H20" s="84">
        <f t="shared" si="6"/>
        <v>-81.494815950287645</v>
      </c>
      <c r="I20" s="84">
        <f t="shared" si="6"/>
        <v>-84.754608588299149</v>
      </c>
      <c r="J20" s="84">
        <f t="shared" si="6"/>
        <v>-88.144792931831105</v>
      </c>
      <c r="K20" s="84">
        <f t="shared" si="6"/>
        <v>-91.670584649104356</v>
      </c>
      <c r="L20" s="84">
        <f t="shared" si="6"/>
        <v>-95.337408035068549</v>
      </c>
      <c r="M20" s="84">
        <f t="shared" si="6"/>
        <v>-99.150904356471287</v>
      </c>
      <c r="N20" s="84">
        <f t="shared" si="6"/>
        <v>-103.11694053073013</v>
      </c>
      <c r="O20" s="84">
        <f t="shared" si="6"/>
        <v>-107.24161815195936</v>
      </c>
      <c r="P20" s="84">
        <f t="shared" si="6"/>
        <v>-111.53128287803773</v>
      </c>
      <c r="Q20" s="84">
        <f t="shared" si="6"/>
        <v>-115.99253419315924</v>
      </c>
      <c r="R20" s="84">
        <f t="shared" si="6"/>
        <v>-120.6322355608856</v>
      </c>
      <c r="S20" s="84">
        <f t="shared" si="6"/>
        <v>-125.45752498332105</v>
      </c>
      <c r="T20" s="84">
        <f t="shared" si="6"/>
        <v>-130.4758259826539</v>
      </c>
      <c r="U20" s="84">
        <f t="shared" si="6"/>
        <v>-135.69485902196007</v>
      </c>
      <c r="V20" s="84">
        <f t="shared" si="6"/>
        <v>-141.12265338283848</v>
      </c>
      <c r="W20" s="84">
        <f t="shared" si="6"/>
        <v>-146.76755951815201</v>
      </c>
      <c r="X20" s="84">
        <f t="shared" si="6"/>
        <v>-152.63826189887814</v>
      </c>
      <c r="Y20" s="84">
        <f t="shared" si="6"/>
        <v>-158.74379237483325</v>
      </c>
      <c r="Z20" s="84">
        <f t="shared" si="6"/>
        <v>-165.09354406982655</v>
      </c>
      <c r="AA20" s="84">
        <f t="shared" si="6"/>
        <v>-171.69728583261963</v>
      </c>
      <c r="AB20" s="84">
        <f t="shared" si="6"/>
        <v>-178.56517726592446</v>
      </c>
      <c r="AC20" s="84">
        <f t="shared" si="6"/>
        <v>-185.7077843565614</v>
      </c>
      <c r="AD20" s="84">
        <f t="shared" si="6"/>
        <v>-193.13609573082388</v>
      </c>
      <c r="AE20" s="84">
        <f t="shared" si="6"/>
        <v>-200.86153956005688</v>
      </c>
      <c r="AF20" s="85">
        <f t="shared" si="6"/>
        <v>-208.89600114245917</v>
      </c>
    </row>
    <row r="21" spans="2:33">
      <c r="B21" s="97" t="s">
        <v>415</v>
      </c>
      <c r="C21" s="84">
        <f>SUM(C18:C20)</f>
        <v>7.873501667575411</v>
      </c>
      <c r="D21" s="84">
        <f t="shared" ref="D21:AF21" si="7">SUM(D18:D20)</f>
        <v>7.8355823164360601</v>
      </c>
      <c r="E21" s="84">
        <f t="shared" si="7"/>
        <v>7.7697322654465211</v>
      </c>
      <c r="F21" s="84">
        <f t="shared" si="7"/>
        <v>7.674041868838728</v>
      </c>
      <c r="G21" s="84">
        <f t="shared" si="7"/>
        <v>7.5465013224805517</v>
      </c>
      <c r="H21" s="84">
        <f t="shared" si="7"/>
        <v>7.3849959443653717</v>
      </c>
      <c r="I21" s="84">
        <f t="shared" si="7"/>
        <v>7.1873012449259051</v>
      </c>
      <c r="J21" s="84">
        <f t="shared" si="7"/>
        <v>6.9510777781231212</v>
      </c>
      <c r="K21" s="84">
        <f t="shared" si="7"/>
        <v>6.6738657638809258</v>
      </c>
      <c r="L21" s="84">
        <f t="shared" si="7"/>
        <v>6.3530794720387149</v>
      </c>
      <c r="M21" s="84">
        <f t="shared" si="7"/>
        <v>19.176120748662541</v>
      </c>
      <c r="N21" s="84">
        <f t="shared" si="7"/>
        <v>18.7598953275577</v>
      </c>
      <c r="O21" s="84">
        <f t="shared" si="7"/>
        <v>18.291522782077095</v>
      </c>
      <c r="P21" s="84">
        <f t="shared" si="7"/>
        <v>17.767852284019824</v>
      </c>
      <c r="Q21" s="84">
        <f t="shared" si="7"/>
        <v>17.185575023760052</v>
      </c>
      <c r="R21" s="84">
        <f t="shared" si="7"/>
        <v>16.541216932541275</v>
      </c>
      <c r="S21" s="84">
        <f t="shared" si="7"/>
        <v>15.831131084908591</v>
      </c>
      <c r="T21" s="84">
        <f t="shared" si="7"/>
        <v>15.051489767622627</v>
      </c>
      <c r="U21" s="84">
        <f t="shared" si="7"/>
        <v>14.198276200824779</v>
      </c>
      <c r="V21" s="84">
        <f t="shared" si="7"/>
        <v>13.267275896629911</v>
      </c>
      <c r="W21" s="84">
        <f t="shared" si="7"/>
        <v>12.254067639700423</v>
      </c>
      <c r="X21" s="84">
        <f t="shared" si="7"/>
        <v>11.154014073709845</v>
      </c>
      <c r="Y21" s="84">
        <f t="shared" si="7"/>
        <v>9.9622518769323847</v>
      </c>
      <c r="Z21" s="84">
        <f t="shared" si="7"/>
        <v>8.6736815094920701</v>
      </c>
      <c r="AA21" s="84">
        <f t="shared" si="7"/>
        <v>7.2829565140785348</v>
      </c>
      <c r="AB21" s="84">
        <f t="shared" si="7"/>
        <v>5.7844723511746281</v>
      </c>
      <c r="AC21" s="84">
        <f t="shared" si="7"/>
        <v>4.1723547490506974</v>
      </c>
      <c r="AD21" s="84">
        <f t="shared" si="7"/>
        <v>2.4404475479565519</v>
      </c>
      <c r="AE21" s="84">
        <f t="shared" si="7"/>
        <v>0.58230001708696477</v>
      </c>
      <c r="AF21" s="85">
        <f t="shared" si="7"/>
        <v>-1.4088463780010443</v>
      </c>
    </row>
    <row r="22" spans="2:33">
      <c r="B22" s="96" t="s">
        <v>423</v>
      </c>
      <c r="C22" s="84">
        <f>-$C$9</f>
        <v>-21.29608095415923</v>
      </c>
      <c r="D22" s="84">
        <f t="shared" ref="D22:I22" si="8">-$C$9</f>
        <v>-21.29608095415923</v>
      </c>
      <c r="E22" s="84">
        <f t="shared" si="8"/>
        <v>-21.29608095415923</v>
      </c>
      <c r="F22" s="84">
        <f t="shared" si="8"/>
        <v>-21.29608095415923</v>
      </c>
      <c r="G22" s="84">
        <f t="shared" si="8"/>
        <v>-21.29608095415923</v>
      </c>
      <c r="H22" s="84">
        <f t="shared" si="8"/>
        <v>-21.29608095415923</v>
      </c>
      <c r="I22" s="84">
        <f t="shared" si="8"/>
        <v>-21.29608095415923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8" t="s">
        <v>424</v>
      </c>
      <c r="C23" s="99">
        <f>E4</f>
        <v>82.81809259950812</v>
      </c>
      <c r="D23" s="99">
        <f>C23-C24-$C$8</f>
        <v>77.495692005380477</v>
      </c>
      <c r="E23" s="99">
        <f>D23-D24-$C$8</f>
        <v>71.667663354810713</v>
      </c>
      <c r="F23" s="99">
        <f t="shared" ref="F23:L23" si="9">E23-E24-$C$8</f>
        <v>65.28597198243682</v>
      </c>
      <c r="G23" s="99">
        <f t="shared" si="9"/>
        <v>58.298019929687392</v>
      </c>
      <c r="H23" s="99">
        <f>G23-G24-$C$8</f>
        <v>50.646212431926777</v>
      </c>
      <c r="I23" s="99">
        <f t="shared" si="9"/>
        <v>42.267483221878898</v>
      </c>
      <c r="J23" s="99">
        <f t="shared" si="9"/>
        <v>33.092774736876471</v>
      </c>
      <c r="K23" s="99">
        <f t="shared" si="9"/>
        <v>23.046468945798814</v>
      </c>
      <c r="L23" s="99">
        <f t="shared" si="9"/>
        <v>12.045764104568782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96" t="s">
        <v>425</v>
      </c>
      <c r="C24" s="84">
        <f>-C23*$C$6/100</f>
        <v>-7.8677187969532714</v>
      </c>
      <c r="D24" s="84">
        <f t="shared" ref="D24:L24" si="10">-D23*$C$6/100</f>
        <v>-7.3620907405111451</v>
      </c>
      <c r="E24" s="84">
        <f t="shared" si="10"/>
        <v>-6.8084280187070183</v>
      </c>
      <c r="F24" s="84">
        <f t="shared" si="10"/>
        <v>-6.2021673383314972</v>
      </c>
      <c r="G24" s="84">
        <f t="shared" si="10"/>
        <v>-5.5383118933203024</v>
      </c>
      <c r="H24" s="84">
        <f t="shared" si="10"/>
        <v>-4.8113901810330439</v>
      </c>
      <c r="I24" s="84">
        <f t="shared" si="10"/>
        <v>-4.015410906078495</v>
      </c>
      <c r="J24" s="84">
        <f t="shared" si="10"/>
        <v>-3.1438136000032646</v>
      </c>
      <c r="K24" s="84">
        <f t="shared" si="10"/>
        <v>-2.1894145498508872</v>
      </c>
      <c r="L24" s="84">
        <f t="shared" si="10"/>
        <v>-1.1443475899340343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2"/>
      <c r="AB24" s="2"/>
      <c r="AC24" s="2"/>
      <c r="AD24" s="2"/>
      <c r="AE24" s="2"/>
      <c r="AF24" s="28"/>
    </row>
    <row r="25" spans="2:33">
      <c r="B25" s="128" t="s">
        <v>426</v>
      </c>
      <c r="C25" s="122">
        <f t="shared" ref="C25:AF25" si="11">C19+C20+C22+C24</f>
        <v>-8.1001786924561632</v>
      </c>
      <c r="D25" s="122">
        <f t="shared" si="11"/>
        <v>-7.6324699871534021</v>
      </c>
      <c r="E25" s="122">
        <f t="shared" si="11"/>
        <v>-7.1446573163388001</v>
      </c>
      <c r="F25" s="122">
        <f t="shared" si="11"/>
        <v>-6.6340870325710721</v>
      </c>
      <c r="G25" s="122">
        <f t="shared" si="11"/>
        <v>-6.0977721339180677</v>
      </c>
      <c r="H25" s="122">
        <f t="shared" si="11"/>
        <v>-5.5323557997459751</v>
      </c>
      <c r="I25" s="122">
        <f t="shared" si="11"/>
        <v>-4.934071224230907</v>
      </c>
      <c r="J25" s="122">
        <f t="shared" si="11"/>
        <v>16.997383569200771</v>
      </c>
      <c r="K25" s="122">
        <f t="shared" si="11"/>
        <v>17.674570605110951</v>
      </c>
      <c r="L25" s="122">
        <f t="shared" si="11"/>
        <v>18.398851273185592</v>
      </c>
      <c r="M25" s="122">
        <f t="shared" si="11"/>
        <v>19.176120748662541</v>
      </c>
      <c r="N25" s="122">
        <f t="shared" si="11"/>
        <v>18.7598953275577</v>
      </c>
      <c r="O25" s="122">
        <f t="shared" si="11"/>
        <v>18.291522782077095</v>
      </c>
      <c r="P25" s="122">
        <f t="shared" si="11"/>
        <v>17.767852284019824</v>
      </c>
      <c r="Q25" s="122">
        <f t="shared" si="11"/>
        <v>17.185575023760052</v>
      </c>
      <c r="R25" s="122">
        <f t="shared" si="11"/>
        <v>16.541216932541275</v>
      </c>
      <c r="S25" s="122">
        <f t="shared" si="11"/>
        <v>15.831131084908591</v>
      </c>
      <c r="T25" s="122">
        <f t="shared" si="11"/>
        <v>15.051489767622627</v>
      </c>
      <c r="U25" s="122">
        <f t="shared" si="11"/>
        <v>14.198276200824779</v>
      </c>
      <c r="V25" s="122">
        <f t="shared" si="11"/>
        <v>13.267275896629911</v>
      </c>
      <c r="W25" s="122">
        <f t="shared" si="11"/>
        <v>12.254067639700423</v>
      </c>
      <c r="X25" s="122">
        <f t="shared" si="11"/>
        <v>11.154014073709845</v>
      </c>
      <c r="Y25" s="122">
        <f t="shared" si="11"/>
        <v>9.9622518769323847</v>
      </c>
      <c r="Z25" s="122">
        <f t="shared" si="11"/>
        <v>8.6736815094920701</v>
      </c>
      <c r="AA25" s="122">
        <f t="shared" si="11"/>
        <v>7.2829565140785348</v>
      </c>
      <c r="AB25" s="122">
        <f t="shared" si="11"/>
        <v>5.7844723511746281</v>
      </c>
      <c r="AC25" s="122">
        <f t="shared" si="11"/>
        <v>4.1723547490506974</v>
      </c>
      <c r="AD25" s="122">
        <f t="shared" si="11"/>
        <v>2.4404475479565519</v>
      </c>
      <c r="AE25" s="122">
        <f t="shared" si="11"/>
        <v>0.58230001708696477</v>
      </c>
      <c r="AF25" s="129">
        <f t="shared" si="11"/>
        <v>-1.4088463780010443</v>
      </c>
    </row>
    <row r="26" spans="2:33">
      <c r="B26" s="100" t="s">
        <v>453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</row>
    <row r="27" spans="2:33">
      <c r="B27" s="124" t="s">
        <v>454</v>
      </c>
      <c r="C27" s="84">
        <v>0</v>
      </c>
      <c r="D27" s="84">
        <f>C31</f>
        <v>-8.1001786924561632</v>
      </c>
      <c r="E27" s="84">
        <f t="shared" ref="E27:AF27" si="12">D31</f>
        <v>-15.732648679609564</v>
      </c>
      <c r="F27" s="84">
        <f t="shared" si="12"/>
        <v>-22.877305995948365</v>
      </c>
      <c r="G27" s="84">
        <f t="shared" si="12"/>
        <v>-29.511393028519436</v>
      </c>
      <c r="H27" s="84">
        <f t="shared" si="12"/>
        <v>-35.609165162437506</v>
      </c>
      <c r="I27" s="84">
        <f t="shared" si="12"/>
        <v>-41.141520962183478</v>
      </c>
      <c r="J27" s="84">
        <f t="shared" si="12"/>
        <v>-46.075592186414383</v>
      </c>
      <c r="K27" s="84">
        <f t="shared" si="12"/>
        <v>-29.078208617213612</v>
      </c>
      <c r="L27" s="84">
        <f t="shared" si="12"/>
        <v>-11.403638012102661</v>
      </c>
      <c r="M27" s="84">
        <f t="shared" si="12"/>
        <v>0</v>
      </c>
      <c r="N27" s="84">
        <f t="shared" si="12"/>
        <v>0</v>
      </c>
      <c r="O27" s="84">
        <f t="shared" si="12"/>
        <v>0</v>
      </c>
      <c r="P27" s="84">
        <f t="shared" si="12"/>
        <v>0</v>
      </c>
      <c r="Q27" s="84">
        <f t="shared" si="12"/>
        <v>0</v>
      </c>
      <c r="R27" s="84">
        <f t="shared" si="12"/>
        <v>0</v>
      </c>
      <c r="S27" s="84">
        <f t="shared" si="12"/>
        <v>0</v>
      </c>
      <c r="T27" s="84">
        <f t="shared" si="12"/>
        <v>0</v>
      </c>
      <c r="U27" s="84">
        <f t="shared" si="12"/>
        <v>0</v>
      </c>
      <c r="V27" s="84">
        <f t="shared" si="12"/>
        <v>0</v>
      </c>
      <c r="W27" s="84">
        <f t="shared" si="12"/>
        <v>0</v>
      </c>
      <c r="X27" s="84">
        <f t="shared" si="12"/>
        <v>0</v>
      </c>
      <c r="Y27" s="84">
        <f t="shared" si="12"/>
        <v>0</v>
      </c>
      <c r="Z27" s="84">
        <f t="shared" si="12"/>
        <v>0</v>
      </c>
      <c r="AA27" s="84">
        <f t="shared" si="12"/>
        <v>0</v>
      </c>
      <c r="AB27" s="84">
        <f t="shared" si="12"/>
        <v>0</v>
      </c>
      <c r="AC27" s="84">
        <f t="shared" si="12"/>
        <v>0</v>
      </c>
      <c r="AD27" s="84">
        <f t="shared" si="12"/>
        <v>0</v>
      </c>
      <c r="AE27" s="84">
        <f t="shared" si="12"/>
        <v>0</v>
      </c>
      <c r="AF27" s="85">
        <f t="shared" si="12"/>
        <v>0</v>
      </c>
    </row>
    <row r="28" spans="2:33">
      <c r="B28" s="125" t="s">
        <v>455</v>
      </c>
      <c r="C28" s="122">
        <f>IF(C25&lt;0,C25,IF(C25&gt;0,0))</f>
        <v>-8.1001786924561632</v>
      </c>
      <c r="D28" s="122">
        <f t="shared" ref="D28:AF28" si="13">IF(D25&lt;0,D25,IF(D25&gt;0,0))</f>
        <v>-7.6324699871534021</v>
      </c>
      <c r="E28" s="122">
        <f t="shared" si="13"/>
        <v>-7.1446573163388001</v>
      </c>
      <c r="F28" s="122">
        <f t="shared" si="13"/>
        <v>-6.6340870325710721</v>
      </c>
      <c r="G28" s="122">
        <f t="shared" si="13"/>
        <v>-6.0977721339180677</v>
      </c>
      <c r="H28" s="122">
        <f t="shared" si="13"/>
        <v>-5.5323557997459751</v>
      </c>
      <c r="I28" s="122">
        <f t="shared" si="13"/>
        <v>-4.934071224230907</v>
      </c>
      <c r="J28" s="122">
        <f t="shared" si="13"/>
        <v>0</v>
      </c>
      <c r="K28" s="122">
        <f t="shared" si="13"/>
        <v>0</v>
      </c>
      <c r="L28" s="122">
        <f t="shared" si="13"/>
        <v>0</v>
      </c>
      <c r="M28" s="122">
        <f t="shared" si="13"/>
        <v>0</v>
      </c>
      <c r="N28" s="122">
        <f t="shared" si="13"/>
        <v>0</v>
      </c>
      <c r="O28" s="122">
        <f t="shared" si="13"/>
        <v>0</v>
      </c>
      <c r="P28" s="122">
        <f t="shared" si="13"/>
        <v>0</v>
      </c>
      <c r="Q28" s="122">
        <f t="shared" si="13"/>
        <v>0</v>
      </c>
      <c r="R28" s="122">
        <f t="shared" si="13"/>
        <v>0</v>
      </c>
      <c r="S28" s="122">
        <f t="shared" si="13"/>
        <v>0</v>
      </c>
      <c r="T28" s="122">
        <f t="shared" si="13"/>
        <v>0</v>
      </c>
      <c r="U28" s="122">
        <f t="shared" si="13"/>
        <v>0</v>
      </c>
      <c r="V28" s="122">
        <f t="shared" si="13"/>
        <v>0</v>
      </c>
      <c r="W28" s="122">
        <f t="shared" si="13"/>
        <v>0</v>
      </c>
      <c r="X28" s="122">
        <f t="shared" si="13"/>
        <v>0</v>
      </c>
      <c r="Y28" s="122">
        <f t="shared" si="13"/>
        <v>0</v>
      </c>
      <c r="Z28" s="122">
        <f t="shared" si="13"/>
        <v>0</v>
      </c>
      <c r="AA28" s="122">
        <f t="shared" si="13"/>
        <v>0</v>
      </c>
      <c r="AB28" s="122">
        <f t="shared" si="13"/>
        <v>0</v>
      </c>
      <c r="AC28" s="122">
        <f t="shared" si="13"/>
        <v>0</v>
      </c>
      <c r="AD28" s="122">
        <f t="shared" si="13"/>
        <v>0</v>
      </c>
      <c r="AE28" s="122">
        <f t="shared" si="13"/>
        <v>0</v>
      </c>
      <c r="AF28" s="129">
        <f t="shared" si="13"/>
        <v>-1.4088463780010443</v>
      </c>
    </row>
    <row r="29" spans="2:33">
      <c r="B29" s="124" t="s">
        <v>456</v>
      </c>
      <c r="C29" s="84">
        <f>C27+C28</f>
        <v>-8.1001786924561632</v>
      </c>
      <c r="D29" s="84">
        <f t="shared" ref="D29:AF29" si="14">D27+D28</f>
        <v>-15.732648679609564</v>
      </c>
      <c r="E29" s="84">
        <f t="shared" si="14"/>
        <v>-22.877305995948365</v>
      </c>
      <c r="F29" s="84">
        <f t="shared" si="14"/>
        <v>-29.511393028519436</v>
      </c>
      <c r="G29" s="84">
        <f t="shared" si="14"/>
        <v>-35.609165162437506</v>
      </c>
      <c r="H29" s="84">
        <f t="shared" si="14"/>
        <v>-41.141520962183478</v>
      </c>
      <c r="I29" s="84">
        <f t="shared" si="14"/>
        <v>-46.075592186414383</v>
      </c>
      <c r="J29" s="84">
        <f t="shared" si="14"/>
        <v>-46.075592186414383</v>
      </c>
      <c r="K29" s="84">
        <f t="shared" si="14"/>
        <v>-29.078208617213612</v>
      </c>
      <c r="L29" s="84">
        <f t="shared" si="14"/>
        <v>-11.403638012102661</v>
      </c>
      <c r="M29" s="84">
        <f t="shared" si="14"/>
        <v>0</v>
      </c>
      <c r="N29" s="84">
        <f t="shared" si="14"/>
        <v>0</v>
      </c>
      <c r="O29" s="84">
        <f t="shared" si="14"/>
        <v>0</v>
      </c>
      <c r="P29" s="84">
        <f t="shared" si="14"/>
        <v>0</v>
      </c>
      <c r="Q29" s="84">
        <f t="shared" si="14"/>
        <v>0</v>
      </c>
      <c r="R29" s="84">
        <f t="shared" si="14"/>
        <v>0</v>
      </c>
      <c r="S29" s="84">
        <f t="shared" si="14"/>
        <v>0</v>
      </c>
      <c r="T29" s="84">
        <f t="shared" si="14"/>
        <v>0</v>
      </c>
      <c r="U29" s="84">
        <f t="shared" si="14"/>
        <v>0</v>
      </c>
      <c r="V29" s="84">
        <f t="shared" si="14"/>
        <v>0</v>
      </c>
      <c r="W29" s="84">
        <f t="shared" si="14"/>
        <v>0</v>
      </c>
      <c r="X29" s="84">
        <f t="shared" si="14"/>
        <v>0</v>
      </c>
      <c r="Y29" s="84">
        <f t="shared" si="14"/>
        <v>0</v>
      </c>
      <c r="Z29" s="84">
        <f t="shared" si="14"/>
        <v>0</v>
      </c>
      <c r="AA29" s="84">
        <f t="shared" si="14"/>
        <v>0</v>
      </c>
      <c r="AB29" s="84">
        <f t="shared" si="14"/>
        <v>0</v>
      </c>
      <c r="AC29" s="84">
        <f t="shared" si="14"/>
        <v>0</v>
      </c>
      <c r="AD29" s="84">
        <f t="shared" si="14"/>
        <v>0</v>
      </c>
      <c r="AE29" s="84">
        <f t="shared" si="14"/>
        <v>0</v>
      </c>
      <c r="AF29" s="85">
        <f t="shared" si="14"/>
        <v>-1.4088463780010443</v>
      </c>
    </row>
    <row r="30" spans="2:33">
      <c r="B30" s="125" t="s">
        <v>457</v>
      </c>
      <c r="C30" s="122">
        <f>IF(C25&lt;0,0,IF(C25+C29&lt;0,C25,IF(C25+C29&gt;0,-C29)))</f>
        <v>0</v>
      </c>
      <c r="D30" s="122">
        <f t="shared" ref="D30:AF30" si="15">IF(D25&lt;0,0,IF(D25+D29&lt;0,D25,IF(D25+D29&gt;0,-D29)))</f>
        <v>0</v>
      </c>
      <c r="E30" s="122">
        <f t="shared" si="15"/>
        <v>0</v>
      </c>
      <c r="F30" s="122">
        <f t="shared" si="15"/>
        <v>0</v>
      </c>
      <c r="G30" s="122">
        <f t="shared" si="15"/>
        <v>0</v>
      </c>
      <c r="H30" s="122">
        <f t="shared" si="15"/>
        <v>0</v>
      </c>
      <c r="I30" s="122">
        <f t="shared" si="15"/>
        <v>0</v>
      </c>
      <c r="J30" s="122">
        <f t="shared" si="15"/>
        <v>16.997383569200771</v>
      </c>
      <c r="K30" s="122">
        <f t="shared" si="15"/>
        <v>17.674570605110951</v>
      </c>
      <c r="L30" s="122">
        <f t="shared" si="15"/>
        <v>11.403638012102661</v>
      </c>
      <c r="M30" s="122">
        <f t="shared" si="15"/>
        <v>0</v>
      </c>
      <c r="N30" s="122">
        <f t="shared" si="15"/>
        <v>0</v>
      </c>
      <c r="O30" s="122">
        <f t="shared" si="15"/>
        <v>0</v>
      </c>
      <c r="P30" s="122">
        <f t="shared" si="15"/>
        <v>0</v>
      </c>
      <c r="Q30" s="122">
        <f t="shared" si="15"/>
        <v>0</v>
      </c>
      <c r="R30" s="122">
        <f t="shared" si="15"/>
        <v>0</v>
      </c>
      <c r="S30" s="122">
        <f t="shared" si="15"/>
        <v>0</v>
      </c>
      <c r="T30" s="122">
        <f t="shared" si="15"/>
        <v>0</v>
      </c>
      <c r="U30" s="122">
        <f t="shared" si="15"/>
        <v>0</v>
      </c>
      <c r="V30" s="122">
        <f t="shared" si="15"/>
        <v>0</v>
      </c>
      <c r="W30" s="122">
        <f t="shared" si="15"/>
        <v>0</v>
      </c>
      <c r="X30" s="122">
        <f t="shared" si="15"/>
        <v>0</v>
      </c>
      <c r="Y30" s="122">
        <f t="shared" si="15"/>
        <v>0</v>
      </c>
      <c r="Z30" s="122">
        <f t="shared" si="15"/>
        <v>0</v>
      </c>
      <c r="AA30" s="122">
        <f t="shared" si="15"/>
        <v>0</v>
      </c>
      <c r="AB30" s="122">
        <f t="shared" si="15"/>
        <v>0</v>
      </c>
      <c r="AC30" s="122">
        <f t="shared" si="15"/>
        <v>0</v>
      </c>
      <c r="AD30" s="122">
        <f t="shared" si="15"/>
        <v>0</v>
      </c>
      <c r="AE30" s="122">
        <f t="shared" si="15"/>
        <v>0</v>
      </c>
      <c r="AF30" s="129">
        <f t="shared" si="15"/>
        <v>0</v>
      </c>
    </row>
    <row r="31" spans="2:33">
      <c r="B31" s="126" t="s">
        <v>458</v>
      </c>
      <c r="C31" s="127">
        <f>C29+C30</f>
        <v>-8.1001786924561632</v>
      </c>
      <c r="D31" s="127">
        <f t="shared" ref="D31:AF31" si="16">D29+D30</f>
        <v>-15.732648679609564</v>
      </c>
      <c r="E31" s="127">
        <f t="shared" si="16"/>
        <v>-22.877305995948365</v>
      </c>
      <c r="F31" s="127">
        <f t="shared" si="16"/>
        <v>-29.511393028519436</v>
      </c>
      <c r="G31" s="127">
        <f t="shared" si="16"/>
        <v>-35.609165162437506</v>
      </c>
      <c r="H31" s="127">
        <f t="shared" si="16"/>
        <v>-41.141520962183478</v>
      </c>
      <c r="I31" s="127">
        <f t="shared" si="16"/>
        <v>-46.075592186414383</v>
      </c>
      <c r="J31" s="127">
        <f t="shared" si="16"/>
        <v>-29.078208617213612</v>
      </c>
      <c r="K31" s="127">
        <f t="shared" si="16"/>
        <v>-11.403638012102661</v>
      </c>
      <c r="L31" s="127">
        <f t="shared" si="16"/>
        <v>0</v>
      </c>
      <c r="M31" s="127">
        <f t="shared" si="16"/>
        <v>0</v>
      </c>
      <c r="N31" s="127">
        <f t="shared" si="16"/>
        <v>0</v>
      </c>
      <c r="O31" s="127">
        <f t="shared" si="16"/>
        <v>0</v>
      </c>
      <c r="P31" s="127">
        <f t="shared" si="16"/>
        <v>0</v>
      </c>
      <c r="Q31" s="127">
        <f t="shared" si="16"/>
        <v>0</v>
      </c>
      <c r="R31" s="127">
        <f t="shared" si="16"/>
        <v>0</v>
      </c>
      <c r="S31" s="127">
        <f t="shared" si="16"/>
        <v>0</v>
      </c>
      <c r="T31" s="127">
        <f t="shared" si="16"/>
        <v>0</v>
      </c>
      <c r="U31" s="127">
        <f t="shared" si="16"/>
        <v>0</v>
      </c>
      <c r="V31" s="127">
        <f t="shared" si="16"/>
        <v>0</v>
      </c>
      <c r="W31" s="127">
        <f t="shared" si="16"/>
        <v>0</v>
      </c>
      <c r="X31" s="127">
        <f t="shared" si="16"/>
        <v>0</v>
      </c>
      <c r="Y31" s="127">
        <f t="shared" si="16"/>
        <v>0</v>
      </c>
      <c r="Z31" s="127">
        <f t="shared" si="16"/>
        <v>0</v>
      </c>
      <c r="AA31" s="127">
        <f t="shared" si="16"/>
        <v>0</v>
      </c>
      <c r="AB31" s="127">
        <f t="shared" si="16"/>
        <v>0</v>
      </c>
      <c r="AC31" s="127">
        <f t="shared" si="16"/>
        <v>0</v>
      </c>
      <c r="AD31" s="127">
        <f t="shared" si="16"/>
        <v>0</v>
      </c>
      <c r="AE31" s="127">
        <f t="shared" si="16"/>
        <v>0</v>
      </c>
      <c r="AF31" s="130">
        <f t="shared" si="16"/>
        <v>-1.4088463780010443</v>
      </c>
    </row>
    <row r="32" spans="2:33">
      <c r="B32" s="96" t="s">
        <v>427</v>
      </c>
      <c r="C32" s="84">
        <f>IF(C25&lt;0,0,IF(C25&gt;0,-(C25-C30)*$G$3/100))</f>
        <v>0</v>
      </c>
      <c r="D32" s="84">
        <f t="shared" ref="D32:AF32" si="17">IF(D25&lt;0,0,IF(D25&gt;0,-(D25-D30)*$G$3/100))</f>
        <v>0</v>
      </c>
      <c r="E32" s="84">
        <f t="shared" si="17"/>
        <v>0</v>
      </c>
      <c r="F32" s="84">
        <f t="shared" si="17"/>
        <v>0</v>
      </c>
      <c r="G32" s="84">
        <f t="shared" si="17"/>
        <v>0</v>
      </c>
      <c r="H32" s="84">
        <f t="shared" si="17"/>
        <v>0</v>
      </c>
      <c r="I32" s="84">
        <f t="shared" si="17"/>
        <v>0</v>
      </c>
      <c r="J32" s="84">
        <f t="shared" si="17"/>
        <v>0</v>
      </c>
      <c r="K32" s="84">
        <f t="shared" si="17"/>
        <v>0</v>
      </c>
      <c r="L32" s="84">
        <f t="shared" si="17"/>
        <v>-1.7977698080983131</v>
      </c>
      <c r="M32" s="84">
        <f t="shared" si="17"/>
        <v>-4.9282630324062726</v>
      </c>
      <c r="N32" s="84">
        <f t="shared" si="17"/>
        <v>-4.8212930991823288</v>
      </c>
      <c r="O32" s="84">
        <f t="shared" si="17"/>
        <v>-4.7009213549938131</v>
      </c>
      <c r="P32" s="84">
        <f t="shared" si="17"/>
        <v>-4.5663380369930948</v>
      </c>
      <c r="Q32" s="84">
        <f t="shared" si="17"/>
        <v>-4.4166927811063337</v>
      </c>
      <c r="R32" s="84">
        <f t="shared" si="17"/>
        <v>-4.2510927516631076</v>
      </c>
      <c r="S32" s="84">
        <f t="shared" si="17"/>
        <v>-4.0686006888215083</v>
      </c>
      <c r="T32" s="84">
        <f t="shared" si="17"/>
        <v>-3.8682328702790154</v>
      </c>
      <c r="U32" s="84">
        <f t="shared" si="17"/>
        <v>-3.6489569836119684</v>
      </c>
      <c r="V32" s="84">
        <f t="shared" si="17"/>
        <v>-3.4096899054338872</v>
      </c>
      <c r="W32" s="84">
        <f t="shared" si="17"/>
        <v>-3.1492953834030089</v>
      </c>
      <c r="X32" s="84">
        <f t="shared" si="17"/>
        <v>-2.8665816169434297</v>
      </c>
      <c r="Y32" s="84">
        <f t="shared" si="17"/>
        <v>-2.5602987323716229</v>
      </c>
      <c r="Z32" s="84">
        <f t="shared" si="17"/>
        <v>-2.229136147939462</v>
      </c>
      <c r="AA32" s="84">
        <f t="shared" si="17"/>
        <v>-1.8717198241181834</v>
      </c>
      <c r="AB32" s="84">
        <f t="shared" si="17"/>
        <v>-1.4866093942518794</v>
      </c>
      <c r="AC32" s="84">
        <f t="shared" si="17"/>
        <v>-1.0722951705060293</v>
      </c>
      <c r="AD32" s="84">
        <f t="shared" si="17"/>
        <v>-0.62719501982483383</v>
      </c>
      <c r="AE32" s="84">
        <f t="shared" si="17"/>
        <v>-0.14965110439134993</v>
      </c>
      <c r="AF32" s="85">
        <f t="shared" si="17"/>
        <v>0</v>
      </c>
      <c r="AG32" s="101"/>
    </row>
    <row r="33" spans="2:33">
      <c r="B33" s="27" t="s">
        <v>428</v>
      </c>
      <c r="C33" s="84">
        <f t="shared" ref="C33:AF33" si="18">C21+C32</f>
        <v>7.873501667575411</v>
      </c>
      <c r="D33" s="84">
        <f t="shared" si="18"/>
        <v>7.8355823164360601</v>
      </c>
      <c r="E33" s="84">
        <f t="shared" si="18"/>
        <v>7.7697322654465211</v>
      </c>
      <c r="F33" s="84">
        <f t="shared" si="18"/>
        <v>7.674041868838728</v>
      </c>
      <c r="G33" s="84">
        <f t="shared" si="18"/>
        <v>7.5465013224805517</v>
      </c>
      <c r="H33" s="84">
        <f t="shared" si="18"/>
        <v>7.3849959443653717</v>
      </c>
      <c r="I33" s="84">
        <f t="shared" si="18"/>
        <v>7.1873012449259051</v>
      </c>
      <c r="J33" s="84">
        <f t="shared" si="18"/>
        <v>6.9510777781231212</v>
      </c>
      <c r="K33" s="84">
        <f t="shared" si="18"/>
        <v>6.6738657638809258</v>
      </c>
      <c r="L33" s="84">
        <f t="shared" si="18"/>
        <v>4.5553096639404016</v>
      </c>
      <c r="M33" s="84">
        <f t="shared" si="18"/>
        <v>14.247857716256268</v>
      </c>
      <c r="N33" s="84">
        <f t="shared" si="18"/>
        <v>13.938602228375371</v>
      </c>
      <c r="O33" s="84">
        <f t="shared" si="18"/>
        <v>13.590601427083282</v>
      </c>
      <c r="P33" s="84">
        <f t="shared" si="18"/>
        <v>13.201514247026729</v>
      </c>
      <c r="Q33" s="84">
        <f t="shared" si="18"/>
        <v>12.768882242653717</v>
      </c>
      <c r="R33" s="84">
        <f t="shared" si="18"/>
        <v>12.290124180878166</v>
      </c>
      <c r="S33" s="84">
        <f t="shared" si="18"/>
        <v>11.762530396087083</v>
      </c>
      <c r="T33" s="84">
        <f t="shared" si="18"/>
        <v>11.183256897343611</v>
      </c>
      <c r="U33" s="84">
        <f t="shared" si="18"/>
        <v>10.54931921721281</v>
      </c>
      <c r="V33" s="84">
        <f t="shared" si="18"/>
        <v>9.8575859911960251</v>
      </c>
      <c r="W33" s="84">
        <f t="shared" si="18"/>
        <v>9.104772256297414</v>
      </c>
      <c r="X33" s="84">
        <f t="shared" si="18"/>
        <v>8.2874324567664157</v>
      </c>
      <c r="Y33" s="84">
        <f t="shared" si="18"/>
        <v>7.4019531445607623</v>
      </c>
      <c r="Z33" s="84">
        <f t="shared" si="18"/>
        <v>6.444545361552608</v>
      </c>
      <c r="AA33" s="84">
        <f t="shared" si="18"/>
        <v>5.4112366899603517</v>
      </c>
      <c r="AB33" s="84">
        <f t="shared" si="18"/>
        <v>4.2978629569227484</v>
      </c>
      <c r="AC33" s="84">
        <f t="shared" si="18"/>
        <v>3.1000595785446681</v>
      </c>
      <c r="AD33" s="84">
        <f t="shared" si="18"/>
        <v>1.8132525281317182</v>
      </c>
      <c r="AE33" s="84">
        <f t="shared" si="18"/>
        <v>0.43264891269561484</v>
      </c>
      <c r="AF33" s="85">
        <f t="shared" si="18"/>
        <v>-1.4088463780010443</v>
      </c>
    </row>
    <row r="34" spans="2:33">
      <c r="B34" s="27" t="s">
        <v>422</v>
      </c>
      <c r="C34" s="84">
        <f>G5</f>
        <v>0</v>
      </c>
      <c r="D34" s="84">
        <f t="shared" ref="D34:AF34" si="19">$G$5*(1+$E$10/100)^(D17-$C$17)</f>
        <v>0</v>
      </c>
      <c r="E34" s="84">
        <f t="shared" si="19"/>
        <v>0</v>
      </c>
      <c r="F34" s="84">
        <f t="shared" si="19"/>
        <v>0</v>
      </c>
      <c r="G34" s="84">
        <f t="shared" si="19"/>
        <v>0</v>
      </c>
      <c r="H34" s="84">
        <f t="shared" si="19"/>
        <v>0</v>
      </c>
      <c r="I34" s="84">
        <f t="shared" si="19"/>
        <v>0</v>
      </c>
      <c r="J34" s="84">
        <f t="shared" si="19"/>
        <v>0</v>
      </c>
      <c r="K34" s="84">
        <f t="shared" si="19"/>
        <v>0</v>
      </c>
      <c r="L34" s="84">
        <f t="shared" si="19"/>
        <v>0</v>
      </c>
      <c r="M34" s="84">
        <f t="shared" si="19"/>
        <v>0</v>
      </c>
      <c r="N34" s="84">
        <f t="shared" si="19"/>
        <v>0</v>
      </c>
      <c r="O34" s="84">
        <f t="shared" si="19"/>
        <v>0</v>
      </c>
      <c r="P34" s="84">
        <f t="shared" si="19"/>
        <v>0</v>
      </c>
      <c r="Q34" s="84">
        <f t="shared" si="19"/>
        <v>0</v>
      </c>
      <c r="R34" s="84">
        <f t="shared" si="19"/>
        <v>0</v>
      </c>
      <c r="S34" s="84">
        <f t="shared" si="19"/>
        <v>0</v>
      </c>
      <c r="T34" s="84">
        <f t="shared" si="19"/>
        <v>0</v>
      </c>
      <c r="U34" s="84">
        <f t="shared" si="19"/>
        <v>0</v>
      </c>
      <c r="V34" s="84">
        <f t="shared" si="19"/>
        <v>0</v>
      </c>
      <c r="W34" s="84">
        <f t="shared" si="19"/>
        <v>0</v>
      </c>
      <c r="X34" s="84">
        <f t="shared" si="19"/>
        <v>0</v>
      </c>
      <c r="Y34" s="84">
        <f t="shared" si="19"/>
        <v>0</v>
      </c>
      <c r="Z34" s="84">
        <f t="shared" si="19"/>
        <v>0</v>
      </c>
      <c r="AA34" s="84">
        <f t="shared" si="19"/>
        <v>0</v>
      </c>
      <c r="AB34" s="84">
        <f t="shared" si="19"/>
        <v>0</v>
      </c>
      <c r="AC34" s="84">
        <f t="shared" si="19"/>
        <v>0</v>
      </c>
      <c r="AD34" s="84">
        <f t="shared" si="19"/>
        <v>0</v>
      </c>
      <c r="AE34" s="84">
        <f t="shared" si="19"/>
        <v>0</v>
      </c>
      <c r="AF34" s="85">
        <f t="shared" si="19"/>
        <v>0</v>
      </c>
    </row>
    <row r="35" spans="2:33">
      <c r="B35" s="97" t="s">
        <v>430</v>
      </c>
      <c r="C35" s="84">
        <f>C33+C34</f>
        <v>7.873501667575411</v>
      </c>
      <c r="D35" s="84">
        <f t="shared" ref="D35:AF35" si="20">D33+D34</f>
        <v>7.8355823164360601</v>
      </c>
      <c r="E35" s="84">
        <f>E33+E34</f>
        <v>7.7697322654465211</v>
      </c>
      <c r="F35" s="84">
        <f t="shared" si="20"/>
        <v>7.674041868838728</v>
      </c>
      <c r="G35" s="84">
        <f t="shared" si="20"/>
        <v>7.5465013224805517</v>
      </c>
      <c r="H35" s="84">
        <f t="shared" si="20"/>
        <v>7.3849959443653717</v>
      </c>
      <c r="I35" s="84">
        <f t="shared" si="20"/>
        <v>7.1873012449259051</v>
      </c>
      <c r="J35" s="84">
        <f t="shared" si="20"/>
        <v>6.9510777781231212</v>
      </c>
      <c r="K35" s="84">
        <f t="shared" si="20"/>
        <v>6.6738657638809258</v>
      </c>
      <c r="L35" s="84">
        <f t="shared" si="20"/>
        <v>4.5553096639404016</v>
      </c>
      <c r="M35" s="84">
        <f t="shared" si="20"/>
        <v>14.247857716256268</v>
      </c>
      <c r="N35" s="84">
        <f t="shared" si="20"/>
        <v>13.938602228375371</v>
      </c>
      <c r="O35" s="84">
        <f t="shared" si="20"/>
        <v>13.590601427083282</v>
      </c>
      <c r="P35" s="84">
        <f t="shared" si="20"/>
        <v>13.201514247026729</v>
      </c>
      <c r="Q35" s="84">
        <f t="shared" si="20"/>
        <v>12.768882242653717</v>
      </c>
      <c r="R35" s="84">
        <f t="shared" si="20"/>
        <v>12.290124180878166</v>
      </c>
      <c r="S35" s="84">
        <f t="shared" si="20"/>
        <v>11.762530396087083</v>
      </c>
      <c r="T35" s="84">
        <f t="shared" si="20"/>
        <v>11.183256897343611</v>
      </c>
      <c r="U35" s="84">
        <f t="shared" si="20"/>
        <v>10.54931921721281</v>
      </c>
      <c r="V35" s="84">
        <f t="shared" si="20"/>
        <v>9.8575859911960251</v>
      </c>
      <c r="W35" s="84">
        <f t="shared" si="20"/>
        <v>9.104772256297414</v>
      </c>
      <c r="X35" s="84">
        <f t="shared" si="20"/>
        <v>8.2874324567664157</v>
      </c>
      <c r="Y35" s="84">
        <f t="shared" si="20"/>
        <v>7.4019531445607623</v>
      </c>
      <c r="Z35" s="84">
        <f t="shared" si="20"/>
        <v>6.444545361552608</v>
      </c>
      <c r="AA35" s="84">
        <f t="shared" si="20"/>
        <v>5.4112366899603517</v>
      </c>
      <c r="AB35" s="84">
        <f t="shared" si="20"/>
        <v>4.2978629569227484</v>
      </c>
      <c r="AC35" s="84">
        <f t="shared" si="20"/>
        <v>3.1000595785446681</v>
      </c>
      <c r="AD35" s="84">
        <f t="shared" si="20"/>
        <v>1.8132525281317182</v>
      </c>
      <c r="AE35" s="84">
        <f t="shared" si="20"/>
        <v>0.43264891269561484</v>
      </c>
      <c r="AF35" s="85">
        <f t="shared" si="20"/>
        <v>-1.4088463780010443</v>
      </c>
    </row>
    <row r="36" spans="2:33">
      <c r="B36" s="27" t="s">
        <v>431</v>
      </c>
      <c r="C36" s="84">
        <f>C35-E5</f>
        <v>-74.944590931932709</v>
      </c>
      <c r="D36" s="84">
        <f>D35</f>
        <v>7.8355823164360601</v>
      </c>
      <c r="E36" s="84">
        <f>E35</f>
        <v>7.7697322654465211</v>
      </c>
      <c r="F36" s="84">
        <f t="shared" ref="F36:AF36" si="21">F35</f>
        <v>7.674041868838728</v>
      </c>
      <c r="G36" s="84">
        <f t="shared" si="21"/>
        <v>7.5465013224805517</v>
      </c>
      <c r="H36" s="84">
        <f t="shared" si="21"/>
        <v>7.3849959443653717</v>
      </c>
      <c r="I36" s="84">
        <f t="shared" si="21"/>
        <v>7.1873012449259051</v>
      </c>
      <c r="J36" s="84">
        <f t="shared" si="21"/>
        <v>6.9510777781231212</v>
      </c>
      <c r="K36" s="84">
        <f t="shared" si="21"/>
        <v>6.6738657638809258</v>
      </c>
      <c r="L36" s="84">
        <f t="shared" si="21"/>
        <v>4.5553096639404016</v>
      </c>
      <c r="M36" s="84">
        <f t="shared" si="21"/>
        <v>14.247857716256268</v>
      </c>
      <c r="N36" s="84">
        <f t="shared" si="21"/>
        <v>13.938602228375371</v>
      </c>
      <c r="O36" s="84">
        <f t="shared" si="21"/>
        <v>13.590601427083282</v>
      </c>
      <c r="P36" s="84">
        <f t="shared" si="21"/>
        <v>13.201514247026729</v>
      </c>
      <c r="Q36" s="84">
        <f t="shared" si="21"/>
        <v>12.768882242653717</v>
      </c>
      <c r="R36" s="84">
        <f t="shared" si="21"/>
        <v>12.290124180878166</v>
      </c>
      <c r="S36" s="84">
        <f t="shared" si="21"/>
        <v>11.762530396087083</v>
      </c>
      <c r="T36" s="84">
        <f t="shared" si="21"/>
        <v>11.183256897343611</v>
      </c>
      <c r="U36" s="84">
        <f t="shared" si="21"/>
        <v>10.54931921721281</v>
      </c>
      <c r="V36" s="84">
        <f t="shared" si="21"/>
        <v>9.8575859911960251</v>
      </c>
      <c r="W36" s="84">
        <f t="shared" si="21"/>
        <v>9.104772256297414</v>
      </c>
      <c r="X36" s="84">
        <f t="shared" si="21"/>
        <v>8.2874324567664157</v>
      </c>
      <c r="Y36" s="84">
        <f t="shared" si="21"/>
        <v>7.4019531445607623</v>
      </c>
      <c r="Z36" s="84">
        <f t="shared" si="21"/>
        <v>6.444545361552608</v>
      </c>
      <c r="AA36" s="84">
        <f t="shared" si="21"/>
        <v>5.4112366899603517</v>
      </c>
      <c r="AB36" s="84">
        <f t="shared" si="21"/>
        <v>4.2978629569227484</v>
      </c>
      <c r="AC36" s="84">
        <f t="shared" si="21"/>
        <v>3.1000595785446681</v>
      </c>
      <c r="AD36" s="84">
        <f t="shared" si="21"/>
        <v>1.8132525281317182</v>
      </c>
      <c r="AE36" s="84">
        <f t="shared" si="21"/>
        <v>0.43264891269561484</v>
      </c>
      <c r="AF36" s="85">
        <f t="shared" si="21"/>
        <v>-1.4088463780010443</v>
      </c>
      <c r="AG36" s="101"/>
    </row>
    <row r="37" spans="2:33">
      <c r="B37" s="27" t="s">
        <v>432</v>
      </c>
      <c r="C37" s="84">
        <f>C36</f>
        <v>-74.944590931932709</v>
      </c>
      <c r="D37" s="84">
        <f t="shared" ref="D37:AF37" si="22">D36/(1+$E$6/100)^(D17-$C$17)</f>
        <v>6.8135498403791832</v>
      </c>
      <c r="E37" s="84">
        <f t="shared" si="22"/>
        <v>5.8750338491089016</v>
      </c>
      <c r="F37" s="84">
        <f t="shared" si="22"/>
        <v>5.0458070971241753</v>
      </c>
      <c r="G37" s="84">
        <f t="shared" si="22"/>
        <v>4.3147366240003739</v>
      </c>
      <c r="H37" s="84">
        <f t="shared" si="22"/>
        <v>3.6716481738106865</v>
      </c>
      <c r="I37" s="84">
        <f t="shared" si="22"/>
        <v>3.1072686683109532</v>
      </c>
      <c r="J37" s="84">
        <f t="shared" si="22"/>
        <v>2.6131676041827943</v>
      </c>
      <c r="K37" s="84">
        <f t="shared" si="22"/>
        <v>2.1816985566238829</v>
      </c>
      <c r="L37" s="84">
        <f t="shared" si="22"/>
        <v>1.2949033126614842</v>
      </c>
      <c r="M37" s="84">
        <f t="shared" si="22"/>
        <v>3.5218525224589645</v>
      </c>
      <c r="N37" s="84">
        <f t="shared" si="22"/>
        <v>2.9960080831048272</v>
      </c>
      <c r="O37" s="84">
        <f t="shared" si="22"/>
        <v>2.5401805820589738</v>
      </c>
      <c r="P37" s="84">
        <f t="shared" si="22"/>
        <v>2.1456151357047277</v>
      </c>
      <c r="Q37" s="84">
        <f t="shared" si="22"/>
        <v>1.8046089913372645</v>
      </c>
      <c r="R37" s="84">
        <f t="shared" si="22"/>
        <v>1.5103884843186801</v>
      </c>
      <c r="S37" s="84">
        <f t="shared" si="22"/>
        <v>1.2570001023819524</v>
      </c>
      <c r="T37" s="84">
        <f t="shared" si="22"/>
        <v>1.0392140637565763</v>
      </c>
      <c r="U37" s="84">
        <f t="shared" si="22"/>
        <v>0.85243899364913767</v>
      </c>
      <c r="V37" s="84">
        <f t="shared" si="22"/>
        <v>0.69264644180395163</v>
      </c>
      <c r="W37" s="84">
        <f t="shared" si="22"/>
        <v>0.5563041245499819</v>
      </c>
      <c r="X37" s="84">
        <f t="shared" si="22"/>
        <v>0.44031689983428007</v>
      </c>
      <c r="Y37" s="84">
        <f t="shared" si="22"/>
        <v>0.34197459496224386</v>
      </c>
      <c r="Z37" s="84">
        <f t="shared" si="22"/>
        <v>0.25890590563715804</v>
      </c>
      <c r="AA37" s="84">
        <f t="shared" si="22"/>
        <v>0.18903767277557379</v>
      </c>
      <c r="AB37" s="84">
        <f t="shared" si="22"/>
        <v>0.13055892168145836</v>
      </c>
      <c r="AC37" s="84">
        <f t="shared" si="22"/>
        <v>8.1889117569391823E-2</v>
      </c>
      <c r="AD37" s="84">
        <f t="shared" si="22"/>
        <v>4.1650153095467775E-2</v>
      </c>
      <c r="AE37" s="84">
        <f t="shared" si="22"/>
        <v>8.64163833907651E-3</v>
      </c>
      <c r="AF37" s="85">
        <f t="shared" si="22"/>
        <v>-2.4469566163531086E-2</v>
      </c>
      <c r="AG37" s="101"/>
    </row>
    <row r="38" spans="2:33" ht="15.75" thickBot="1">
      <c r="B38" s="29" t="s">
        <v>433</v>
      </c>
      <c r="C38" s="87">
        <f>C37</f>
        <v>-74.944590931932709</v>
      </c>
      <c r="D38" s="87">
        <f>C38+D37</f>
        <v>-68.131041091553527</v>
      </c>
      <c r="E38" s="87">
        <f t="shared" ref="E38:AF38" si="23">D38+E37</f>
        <v>-62.256007242444625</v>
      </c>
      <c r="F38" s="87">
        <f t="shared" si="23"/>
        <v>-57.210200145320449</v>
      </c>
      <c r="G38" s="87">
        <f t="shared" si="23"/>
        <v>-52.895463521320075</v>
      </c>
      <c r="H38" s="87">
        <f t="shared" si="23"/>
        <v>-49.223815347509387</v>
      </c>
      <c r="I38" s="87">
        <f t="shared" si="23"/>
        <v>-46.116546679198436</v>
      </c>
      <c r="J38" s="87">
        <f t="shared" si="23"/>
        <v>-43.503379075015644</v>
      </c>
      <c r="K38" s="87">
        <f t="shared" si="23"/>
        <v>-41.321680518391759</v>
      </c>
      <c r="L38" s="87">
        <f t="shared" si="23"/>
        <v>-40.026777205730276</v>
      </c>
      <c r="M38" s="87">
        <f t="shared" si="23"/>
        <v>-36.504924683271312</v>
      </c>
      <c r="N38" s="87">
        <f t="shared" si="23"/>
        <v>-33.508916600166486</v>
      </c>
      <c r="O38" s="87">
        <f t="shared" si="23"/>
        <v>-30.968736018107514</v>
      </c>
      <c r="P38" s="87">
        <f t="shared" si="23"/>
        <v>-28.823120882402787</v>
      </c>
      <c r="Q38" s="87">
        <f t="shared" si="23"/>
        <v>-27.018511891065522</v>
      </c>
      <c r="R38" s="87">
        <f t="shared" si="23"/>
        <v>-25.50812340674684</v>
      </c>
      <c r="S38" s="87">
        <f t="shared" si="23"/>
        <v>-24.251123304364889</v>
      </c>
      <c r="T38" s="87">
        <f t="shared" si="23"/>
        <v>-23.211909240608314</v>
      </c>
      <c r="U38" s="87">
        <f t="shared" si="23"/>
        <v>-22.359470246959177</v>
      </c>
      <c r="V38" s="87">
        <f t="shared" si="23"/>
        <v>-21.666823805155225</v>
      </c>
      <c r="W38" s="87">
        <f t="shared" si="23"/>
        <v>-21.110519680605243</v>
      </c>
      <c r="X38" s="87">
        <f t="shared" si="23"/>
        <v>-20.670202780770964</v>
      </c>
      <c r="Y38" s="87">
        <f t="shared" si="23"/>
        <v>-20.328228185808719</v>
      </c>
      <c r="Z38" s="87">
        <f t="shared" si="23"/>
        <v>-20.069322280171562</v>
      </c>
      <c r="AA38" s="87">
        <f t="shared" si="23"/>
        <v>-19.880284607395989</v>
      </c>
      <c r="AB38" s="87">
        <f t="shared" si="23"/>
        <v>-19.74972568571453</v>
      </c>
      <c r="AC38" s="87">
        <f t="shared" si="23"/>
        <v>-19.667836568145137</v>
      </c>
      <c r="AD38" s="87">
        <f t="shared" si="23"/>
        <v>-19.62618641504967</v>
      </c>
      <c r="AE38" s="87">
        <f t="shared" si="23"/>
        <v>-19.617544776710595</v>
      </c>
      <c r="AF38" s="88">
        <f t="shared" si="23"/>
        <v>-19.642014342874127</v>
      </c>
    </row>
    <row r="39" spans="2:33">
      <c r="B39" s="131" t="s">
        <v>430</v>
      </c>
      <c r="C39" s="81">
        <f>C33</f>
        <v>7.873501667575411</v>
      </c>
      <c r="D39" s="81">
        <f t="shared" ref="D39:AF39" si="24">D33</f>
        <v>7.8355823164360601</v>
      </c>
      <c r="E39" s="81">
        <f t="shared" si="24"/>
        <v>7.7697322654465211</v>
      </c>
      <c r="F39" s="81">
        <f t="shared" si="24"/>
        <v>7.674041868838728</v>
      </c>
      <c r="G39" s="81">
        <f t="shared" si="24"/>
        <v>7.5465013224805517</v>
      </c>
      <c r="H39" s="81">
        <f t="shared" si="24"/>
        <v>7.3849959443653717</v>
      </c>
      <c r="I39" s="81">
        <f t="shared" si="24"/>
        <v>7.1873012449259051</v>
      </c>
      <c r="J39" s="81">
        <f t="shared" si="24"/>
        <v>6.9510777781231212</v>
      </c>
      <c r="K39" s="81">
        <f t="shared" si="24"/>
        <v>6.6738657638809258</v>
      </c>
      <c r="L39" s="81">
        <f t="shared" si="24"/>
        <v>4.5553096639404016</v>
      </c>
      <c r="M39" s="81">
        <f t="shared" si="24"/>
        <v>14.247857716256268</v>
      </c>
      <c r="N39" s="81">
        <f t="shared" si="24"/>
        <v>13.938602228375371</v>
      </c>
      <c r="O39" s="81">
        <f t="shared" si="24"/>
        <v>13.590601427083282</v>
      </c>
      <c r="P39" s="81">
        <f t="shared" si="24"/>
        <v>13.201514247026729</v>
      </c>
      <c r="Q39" s="81">
        <f t="shared" si="24"/>
        <v>12.768882242653717</v>
      </c>
      <c r="R39" s="81">
        <f t="shared" si="24"/>
        <v>12.290124180878166</v>
      </c>
      <c r="S39" s="81">
        <f t="shared" si="24"/>
        <v>11.762530396087083</v>
      </c>
      <c r="T39" s="81">
        <f t="shared" si="24"/>
        <v>11.183256897343611</v>
      </c>
      <c r="U39" s="81">
        <f t="shared" si="24"/>
        <v>10.54931921721281</v>
      </c>
      <c r="V39" s="81">
        <f t="shared" si="24"/>
        <v>9.8575859911960251</v>
      </c>
      <c r="W39" s="81">
        <f t="shared" si="24"/>
        <v>9.104772256297414</v>
      </c>
      <c r="X39" s="81">
        <f t="shared" si="24"/>
        <v>8.2874324567664157</v>
      </c>
      <c r="Y39" s="81">
        <f t="shared" si="24"/>
        <v>7.4019531445607623</v>
      </c>
      <c r="Z39" s="81">
        <f t="shared" si="24"/>
        <v>6.444545361552608</v>
      </c>
      <c r="AA39" s="81">
        <f t="shared" si="24"/>
        <v>5.4112366899603517</v>
      </c>
      <c r="AB39" s="81">
        <f t="shared" si="24"/>
        <v>4.2978629569227484</v>
      </c>
      <c r="AC39" s="81">
        <f t="shared" si="24"/>
        <v>3.1000595785446681</v>
      </c>
      <c r="AD39" s="81">
        <f t="shared" si="24"/>
        <v>1.8132525281317182</v>
      </c>
      <c r="AE39" s="81">
        <f t="shared" si="24"/>
        <v>0.43264891269561484</v>
      </c>
      <c r="AF39" s="82">
        <f t="shared" si="24"/>
        <v>-1.4088463780010443</v>
      </c>
    </row>
    <row r="40" spans="2:33">
      <c r="B40" s="27" t="s">
        <v>431</v>
      </c>
      <c r="C40" s="84">
        <f>C39-E5</f>
        <v>-74.944590931932709</v>
      </c>
      <c r="D40" s="84">
        <f>D39</f>
        <v>7.8355823164360601</v>
      </c>
      <c r="E40" s="84">
        <f t="shared" ref="E40:AF40" si="25">E39</f>
        <v>7.7697322654465211</v>
      </c>
      <c r="F40" s="84">
        <f t="shared" si="25"/>
        <v>7.674041868838728</v>
      </c>
      <c r="G40" s="84">
        <f t="shared" si="25"/>
        <v>7.5465013224805517</v>
      </c>
      <c r="H40" s="84">
        <f t="shared" si="25"/>
        <v>7.3849959443653717</v>
      </c>
      <c r="I40" s="84">
        <f t="shared" si="25"/>
        <v>7.1873012449259051</v>
      </c>
      <c r="J40" s="84">
        <f t="shared" si="25"/>
        <v>6.9510777781231212</v>
      </c>
      <c r="K40" s="84">
        <f t="shared" si="25"/>
        <v>6.6738657638809258</v>
      </c>
      <c r="L40" s="84">
        <f t="shared" si="25"/>
        <v>4.5553096639404016</v>
      </c>
      <c r="M40" s="84">
        <f t="shared" si="25"/>
        <v>14.247857716256268</v>
      </c>
      <c r="N40" s="84">
        <f t="shared" si="25"/>
        <v>13.938602228375371</v>
      </c>
      <c r="O40" s="84">
        <f t="shared" si="25"/>
        <v>13.590601427083282</v>
      </c>
      <c r="P40" s="84">
        <f t="shared" si="25"/>
        <v>13.201514247026729</v>
      </c>
      <c r="Q40" s="84">
        <f t="shared" si="25"/>
        <v>12.768882242653717</v>
      </c>
      <c r="R40" s="84">
        <f t="shared" si="25"/>
        <v>12.290124180878166</v>
      </c>
      <c r="S40" s="84">
        <f t="shared" si="25"/>
        <v>11.762530396087083</v>
      </c>
      <c r="T40" s="84">
        <f t="shared" si="25"/>
        <v>11.183256897343611</v>
      </c>
      <c r="U40" s="84">
        <f t="shared" si="25"/>
        <v>10.54931921721281</v>
      </c>
      <c r="V40" s="84">
        <f t="shared" si="25"/>
        <v>9.8575859911960251</v>
      </c>
      <c r="W40" s="84">
        <f t="shared" si="25"/>
        <v>9.104772256297414</v>
      </c>
      <c r="X40" s="84">
        <f t="shared" si="25"/>
        <v>8.2874324567664157</v>
      </c>
      <c r="Y40" s="84">
        <f t="shared" si="25"/>
        <v>7.4019531445607623</v>
      </c>
      <c r="Z40" s="84">
        <f t="shared" si="25"/>
        <v>6.444545361552608</v>
      </c>
      <c r="AA40" s="84">
        <f t="shared" si="25"/>
        <v>5.4112366899603517</v>
      </c>
      <c r="AB40" s="84">
        <f t="shared" si="25"/>
        <v>4.2978629569227484</v>
      </c>
      <c r="AC40" s="84">
        <f t="shared" si="25"/>
        <v>3.1000595785446681</v>
      </c>
      <c r="AD40" s="84">
        <f t="shared" si="25"/>
        <v>1.8132525281317182</v>
      </c>
      <c r="AE40" s="84">
        <f t="shared" si="25"/>
        <v>0.43264891269561484</v>
      </c>
      <c r="AF40" s="85">
        <f t="shared" si="25"/>
        <v>-1.4088463780010443</v>
      </c>
    </row>
    <row r="41" spans="2:33">
      <c r="B41" s="27" t="s">
        <v>432</v>
      </c>
      <c r="C41" s="84">
        <f>C40</f>
        <v>-74.944590931932709</v>
      </c>
      <c r="D41" s="84">
        <f>D40/(1+$E$6/100)^(D17-$C$17)</f>
        <v>6.8135498403791832</v>
      </c>
      <c r="E41" s="84">
        <f t="shared" ref="E41:AF41" si="26">E40/(1+$E$6/100)^(E17-$C$17)</f>
        <v>5.8750338491089016</v>
      </c>
      <c r="F41" s="84">
        <f t="shared" si="26"/>
        <v>5.0458070971241753</v>
      </c>
      <c r="G41" s="84">
        <f t="shared" si="26"/>
        <v>4.3147366240003739</v>
      </c>
      <c r="H41" s="84">
        <f t="shared" si="26"/>
        <v>3.6716481738106865</v>
      </c>
      <c r="I41" s="84">
        <f t="shared" si="26"/>
        <v>3.1072686683109532</v>
      </c>
      <c r="J41" s="84">
        <f t="shared" si="26"/>
        <v>2.6131676041827943</v>
      </c>
      <c r="K41" s="84">
        <f t="shared" si="26"/>
        <v>2.1816985566238829</v>
      </c>
      <c r="L41" s="84">
        <f t="shared" si="26"/>
        <v>1.2949033126614842</v>
      </c>
      <c r="M41" s="84">
        <f t="shared" si="26"/>
        <v>3.5218525224589645</v>
      </c>
      <c r="N41" s="84">
        <f t="shared" si="26"/>
        <v>2.9960080831048272</v>
      </c>
      <c r="O41" s="84">
        <f t="shared" si="26"/>
        <v>2.5401805820589738</v>
      </c>
      <c r="P41" s="84">
        <f t="shared" si="26"/>
        <v>2.1456151357047277</v>
      </c>
      <c r="Q41" s="84">
        <f t="shared" si="26"/>
        <v>1.8046089913372645</v>
      </c>
      <c r="R41" s="84">
        <f t="shared" si="26"/>
        <v>1.5103884843186801</v>
      </c>
      <c r="S41" s="84">
        <f t="shared" si="26"/>
        <v>1.2570001023819524</v>
      </c>
      <c r="T41" s="84">
        <f t="shared" si="26"/>
        <v>1.0392140637565763</v>
      </c>
      <c r="U41" s="84">
        <f t="shared" si="26"/>
        <v>0.85243899364913767</v>
      </c>
      <c r="V41" s="84">
        <f t="shared" si="26"/>
        <v>0.69264644180395163</v>
      </c>
      <c r="W41" s="84">
        <f t="shared" si="26"/>
        <v>0.5563041245499819</v>
      </c>
      <c r="X41" s="84">
        <f t="shared" si="26"/>
        <v>0.44031689983428007</v>
      </c>
      <c r="Y41" s="84">
        <f t="shared" si="26"/>
        <v>0.34197459496224386</v>
      </c>
      <c r="Z41" s="84">
        <f t="shared" si="26"/>
        <v>0.25890590563715804</v>
      </c>
      <c r="AA41" s="84">
        <f t="shared" si="26"/>
        <v>0.18903767277557379</v>
      </c>
      <c r="AB41" s="84">
        <f t="shared" si="26"/>
        <v>0.13055892168145836</v>
      </c>
      <c r="AC41" s="84">
        <f t="shared" si="26"/>
        <v>8.1889117569391823E-2</v>
      </c>
      <c r="AD41" s="84">
        <f t="shared" si="26"/>
        <v>4.1650153095467775E-2</v>
      </c>
      <c r="AE41" s="84">
        <f t="shared" si="26"/>
        <v>8.64163833907651E-3</v>
      </c>
      <c r="AF41" s="85">
        <f t="shared" si="26"/>
        <v>-2.4469566163531086E-2</v>
      </c>
    </row>
    <row r="42" spans="2:33" ht="15.75" thickBot="1">
      <c r="B42" s="29" t="s">
        <v>433</v>
      </c>
      <c r="C42" s="87">
        <f>C41</f>
        <v>-74.944590931932709</v>
      </c>
      <c r="D42" s="87">
        <f>D41+C42</f>
        <v>-68.131041091553527</v>
      </c>
      <c r="E42" s="87">
        <f t="shared" ref="E42:AF42" si="27">E41+D42</f>
        <v>-62.256007242444625</v>
      </c>
      <c r="F42" s="87">
        <f t="shared" si="27"/>
        <v>-57.210200145320449</v>
      </c>
      <c r="G42" s="87">
        <f t="shared" si="27"/>
        <v>-52.895463521320075</v>
      </c>
      <c r="H42" s="87">
        <f t="shared" si="27"/>
        <v>-49.223815347509387</v>
      </c>
      <c r="I42" s="87">
        <f t="shared" si="27"/>
        <v>-46.116546679198436</v>
      </c>
      <c r="J42" s="87">
        <f t="shared" si="27"/>
        <v>-43.503379075015644</v>
      </c>
      <c r="K42" s="87">
        <f t="shared" si="27"/>
        <v>-41.321680518391759</v>
      </c>
      <c r="L42" s="87">
        <f t="shared" si="27"/>
        <v>-40.026777205730276</v>
      </c>
      <c r="M42" s="87">
        <f t="shared" si="27"/>
        <v>-36.504924683271312</v>
      </c>
      <c r="N42" s="87">
        <f t="shared" si="27"/>
        <v>-33.508916600166486</v>
      </c>
      <c r="O42" s="87">
        <f t="shared" si="27"/>
        <v>-30.968736018107514</v>
      </c>
      <c r="P42" s="87">
        <f t="shared" si="27"/>
        <v>-28.823120882402787</v>
      </c>
      <c r="Q42" s="87">
        <f t="shared" si="27"/>
        <v>-27.018511891065522</v>
      </c>
      <c r="R42" s="87">
        <f t="shared" si="27"/>
        <v>-25.50812340674684</v>
      </c>
      <c r="S42" s="87">
        <f t="shared" si="27"/>
        <v>-24.251123304364889</v>
      </c>
      <c r="T42" s="87">
        <f t="shared" si="27"/>
        <v>-23.211909240608314</v>
      </c>
      <c r="U42" s="87">
        <f t="shared" si="27"/>
        <v>-22.359470246959177</v>
      </c>
      <c r="V42" s="87">
        <f t="shared" si="27"/>
        <v>-21.666823805155225</v>
      </c>
      <c r="W42" s="87">
        <f t="shared" si="27"/>
        <v>-21.110519680605243</v>
      </c>
      <c r="X42" s="87">
        <f t="shared" si="27"/>
        <v>-20.670202780770964</v>
      </c>
      <c r="Y42" s="87">
        <f t="shared" si="27"/>
        <v>-20.328228185808719</v>
      </c>
      <c r="Z42" s="87">
        <f t="shared" si="27"/>
        <v>-20.069322280171562</v>
      </c>
      <c r="AA42" s="87">
        <f t="shared" si="27"/>
        <v>-19.880284607395989</v>
      </c>
      <c r="AB42" s="87">
        <f t="shared" si="27"/>
        <v>-19.74972568571453</v>
      </c>
      <c r="AC42" s="87">
        <f t="shared" si="27"/>
        <v>-19.667836568145137</v>
      </c>
      <c r="AD42" s="87">
        <f t="shared" si="27"/>
        <v>-19.62618641504967</v>
      </c>
      <c r="AE42" s="87">
        <f t="shared" si="27"/>
        <v>-19.617544776710595</v>
      </c>
      <c r="AF42" s="88">
        <f t="shared" si="27"/>
        <v>-19.642014342874127</v>
      </c>
    </row>
    <row r="43" spans="2:33" ht="15.75" thickBot="1">
      <c r="B43" s="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2:33">
      <c r="C44" s="80"/>
      <c r="D44" s="39" t="s">
        <v>460</v>
      </c>
      <c r="E44" s="81"/>
      <c r="F44" s="81"/>
      <c r="G44" s="81"/>
      <c r="H44" s="82"/>
      <c r="I44" s="80"/>
      <c r="J44" s="39" t="s">
        <v>463</v>
      </c>
      <c r="K44" s="81"/>
      <c r="L44" s="81"/>
      <c r="M44" s="81"/>
      <c r="N44" s="82"/>
      <c r="O44" s="74"/>
      <c r="P44" s="74" t="s">
        <v>464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2:33">
      <c r="C45" s="27" t="s">
        <v>461</v>
      </c>
      <c r="D45" s="84" t="s">
        <v>285</v>
      </c>
      <c r="E45" s="84" t="s">
        <v>286</v>
      </c>
      <c r="F45" s="84" t="s">
        <v>287</v>
      </c>
      <c r="G45" s="84" t="s">
        <v>288</v>
      </c>
      <c r="H45" s="85" t="s">
        <v>289</v>
      </c>
      <c r="I45" s="27" t="s">
        <v>462</v>
      </c>
      <c r="J45" s="84" t="s">
        <v>285</v>
      </c>
      <c r="K45" s="84" t="s">
        <v>286</v>
      </c>
      <c r="L45" s="84" t="s">
        <v>287</v>
      </c>
      <c r="M45" s="84" t="s">
        <v>288</v>
      </c>
      <c r="N45" s="85" t="s">
        <v>289</v>
      </c>
      <c r="O45" s="74"/>
      <c r="P45" s="74">
        <f>AF38-AF90</f>
        <v>9.3258248107019881E-5</v>
      </c>
      <c r="T45" s="74"/>
      <c r="U45" s="74"/>
      <c r="V45" s="74"/>
      <c r="W45" s="74"/>
      <c r="X45" s="74"/>
      <c r="Y45" s="74"/>
      <c r="Z45" s="74"/>
    </row>
    <row r="46" spans="2:33">
      <c r="C46" s="151">
        <v>89</v>
      </c>
      <c r="D46" s="34">
        <v>466.73</v>
      </c>
      <c r="E46" s="34">
        <v>489.02</v>
      </c>
      <c r="F46" s="34">
        <v>482.37</v>
      </c>
      <c r="G46" s="34">
        <v>422.35</v>
      </c>
      <c r="H46" s="56">
        <v>417.63</v>
      </c>
      <c r="I46" s="151">
        <v>89</v>
      </c>
      <c r="J46" s="158">
        <v>420.05</v>
      </c>
      <c r="K46" s="34">
        <v>525.32000000000005</v>
      </c>
      <c r="L46" s="34">
        <v>474.13</v>
      </c>
      <c r="M46" s="34">
        <v>517.22</v>
      </c>
      <c r="N46" s="56">
        <v>556.83000000000004</v>
      </c>
      <c r="O46" s="74"/>
      <c r="P46" s="74"/>
      <c r="T46" s="74"/>
      <c r="U46" s="74"/>
      <c r="V46" s="74"/>
      <c r="W46" s="74"/>
      <c r="X46" s="74"/>
      <c r="Y46" s="74"/>
      <c r="Z46" s="74"/>
    </row>
    <row r="47" spans="2:33">
      <c r="C47" s="151">
        <v>63</v>
      </c>
      <c r="D47" s="34">
        <v>376.83</v>
      </c>
      <c r="E47" s="34">
        <v>399.42</v>
      </c>
      <c r="F47" s="34">
        <v>396.14</v>
      </c>
      <c r="G47" s="34">
        <v>318.08</v>
      </c>
      <c r="H47" s="56">
        <v>317.77999999999997</v>
      </c>
      <c r="I47" s="151">
        <v>63</v>
      </c>
      <c r="J47" s="158">
        <v>335.65</v>
      </c>
      <c r="K47" s="34">
        <v>431.44</v>
      </c>
      <c r="L47" s="34">
        <v>388.69</v>
      </c>
      <c r="M47" s="34">
        <v>412.96</v>
      </c>
      <c r="N47" s="56">
        <v>456.98</v>
      </c>
      <c r="O47" s="74"/>
      <c r="P47" s="74"/>
      <c r="T47" s="74"/>
      <c r="U47" s="74"/>
      <c r="V47" s="74"/>
      <c r="W47" s="74"/>
      <c r="X47" s="74"/>
      <c r="Y47" s="74"/>
      <c r="Z47" s="74"/>
    </row>
    <row r="48" spans="2:33" ht="15.75" thickBot="1">
      <c r="C48" s="152">
        <v>130</v>
      </c>
      <c r="D48" s="57">
        <v>637.86</v>
      </c>
      <c r="E48" s="57">
        <v>643.25</v>
      </c>
      <c r="F48" s="57">
        <v>628.54</v>
      </c>
      <c r="G48" s="57">
        <v>586.77</v>
      </c>
      <c r="H48" s="58">
        <v>575.1</v>
      </c>
      <c r="I48" s="152">
        <v>130</v>
      </c>
      <c r="J48" s="159">
        <v>570.28</v>
      </c>
      <c r="K48" s="57">
        <v>683.12</v>
      </c>
      <c r="L48" s="57">
        <v>619.24</v>
      </c>
      <c r="M48" s="57">
        <v>681.65</v>
      </c>
      <c r="N48" s="58">
        <v>714.3</v>
      </c>
      <c r="O48" s="74"/>
      <c r="P48" s="74"/>
      <c r="T48" s="74"/>
      <c r="U48" s="74"/>
      <c r="V48" s="74"/>
      <c r="W48" s="74"/>
      <c r="X48" s="74"/>
      <c r="Y48" s="74"/>
      <c r="Z48" s="74"/>
    </row>
    <row r="49" spans="2:26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T49" s="74"/>
      <c r="U49" s="74"/>
      <c r="V49" s="74"/>
      <c r="W49" s="74"/>
      <c r="X49" s="74"/>
      <c r="Y49" s="74"/>
      <c r="Z49" s="74"/>
    </row>
    <row r="50" spans="2:26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T50" s="74"/>
      <c r="U50" s="74"/>
      <c r="V50" s="74"/>
      <c r="W50" s="74"/>
      <c r="X50" s="74"/>
      <c r="Y50" s="74"/>
      <c r="Z50" s="74"/>
    </row>
    <row r="51" spans="2:26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2:26" ht="15.75" thickBot="1">
      <c r="B52" s="121" t="s">
        <v>176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84"/>
      <c r="N52" s="84"/>
      <c r="O52" s="84"/>
      <c r="P52" s="8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2:26">
      <c r="B53" t="s">
        <v>365</v>
      </c>
      <c r="C53" s="30">
        <f>63.19*G60*G61</f>
        <v>63.19</v>
      </c>
      <c r="D53" s="74"/>
      <c r="E53" s="74"/>
      <c r="F53" s="74"/>
      <c r="G53" s="74" t="s">
        <v>437</v>
      </c>
      <c r="H53" s="74" t="s">
        <v>286</v>
      </c>
      <c r="I53" s="74" t="s">
        <v>287</v>
      </c>
      <c r="J53" s="74" t="s">
        <v>288</v>
      </c>
      <c r="K53" s="74" t="s">
        <v>289</v>
      </c>
      <c r="L53" s="74"/>
      <c r="M53" s="80"/>
      <c r="N53" s="81" t="s">
        <v>374</v>
      </c>
      <c r="O53" s="81" t="s">
        <v>416</v>
      </c>
      <c r="P53" s="82" t="s">
        <v>375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2:26">
      <c r="B54" t="s">
        <v>366</v>
      </c>
      <c r="C54" s="30">
        <f>C53*E54/100</f>
        <v>56.870999999999995</v>
      </c>
      <c r="D54" s="74" t="s">
        <v>436</v>
      </c>
      <c r="E54" s="30">
        <v>90</v>
      </c>
      <c r="F54" s="74" t="s">
        <v>417</v>
      </c>
      <c r="G54" s="30">
        <v>25.7</v>
      </c>
      <c r="H54" s="30">
        <v>25.7</v>
      </c>
      <c r="I54" s="30">
        <v>20</v>
      </c>
      <c r="J54" s="30">
        <v>30</v>
      </c>
      <c r="K54" s="30">
        <v>25</v>
      </c>
      <c r="L54" s="74"/>
      <c r="M54" s="132">
        <v>2018</v>
      </c>
      <c r="N54" s="34">
        <f>E55</f>
        <v>31.594999999999999</v>
      </c>
      <c r="O54" s="34">
        <f>N54*$C$57/100</f>
        <v>3.0015249999999996</v>
      </c>
      <c r="P54" s="56">
        <f>N54+O54-$C$59</f>
        <v>29.564510749484928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2:26">
      <c r="B55" t="s">
        <v>367</v>
      </c>
      <c r="C55" s="30">
        <v>0.5</v>
      </c>
      <c r="D55" s="74" t="s">
        <v>369</v>
      </c>
      <c r="E55" s="30">
        <f>C55*C53</f>
        <v>31.594999999999999</v>
      </c>
      <c r="F55" s="74" t="s">
        <v>418</v>
      </c>
      <c r="G55" s="30">
        <v>0</v>
      </c>
      <c r="H55" s="30">
        <v>0</v>
      </c>
      <c r="I55" s="30">
        <v>29.3</v>
      </c>
      <c r="J55" s="30">
        <v>3.7</v>
      </c>
      <c r="K55" s="30">
        <v>0</v>
      </c>
      <c r="L55" s="74"/>
      <c r="M55" s="132">
        <v>2019</v>
      </c>
      <c r="N55" s="34">
        <f>P54</f>
        <v>29.564510749484928</v>
      </c>
      <c r="O55" s="34">
        <f t="shared" ref="O55:O63" si="28">N55*$C$57/100</f>
        <v>2.8086285212010682</v>
      </c>
      <c r="P55" s="56">
        <f t="shared" ref="P55:P63" si="29">N55+O55-$C$59</f>
        <v>27.341125020170924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2:26">
      <c r="B56" t="s">
        <v>368</v>
      </c>
      <c r="C56" s="30">
        <v>0.5</v>
      </c>
      <c r="D56" s="74" t="s">
        <v>368</v>
      </c>
      <c r="E56" s="30">
        <f>C56*C53</f>
        <v>31.594999999999999</v>
      </c>
      <c r="F56" s="74" t="s">
        <v>422</v>
      </c>
      <c r="G56" s="30">
        <f>G55*G62/1000000</f>
        <v>0</v>
      </c>
      <c r="H56" s="30">
        <f>H55*H62/1000000</f>
        <v>0</v>
      </c>
      <c r="I56" s="30">
        <f>I55*I62/1000000</f>
        <v>0</v>
      </c>
      <c r="J56" s="30">
        <f>J55*J62/1000000</f>
        <v>0</v>
      </c>
      <c r="K56" s="30">
        <f>K55*K62/1000000</f>
        <v>0</v>
      </c>
      <c r="L56" s="74"/>
      <c r="M56" s="132">
        <v>2020</v>
      </c>
      <c r="N56" s="34">
        <f t="shared" ref="N56:N63" si="30">P55</f>
        <v>27.341125020170924</v>
      </c>
      <c r="O56" s="34">
        <f t="shared" si="28"/>
        <v>2.5974068769162382</v>
      </c>
      <c r="P56" s="56">
        <f t="shared" si="29"/>
        <v>24.906517646572091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2:26">
      <c r="B57" t="s">
        <v>370</v>
      </c>
      <c r="C57" s="30">
        <v>9.5</v>
      </c>
      <c r="D57" t="s">
        <v>371</v>
      </c>
      <c r="E57" s="30">
        <v>15</v>
      </c>
      <c r="F57" t="s">
        <v>394</v>
      </c>
      <c r="G57" s="30">
        <v>495.5</v>
      </c>
      <c r="H57" s="30">
        <v>495.5</v>
      </c>
      <c r="I57" s="30">
        <v>474.7</v>
      </c>
      <c r="J57" s="30">
        <v>495.5</v>
      </c>
      <c r="K57" s="30">
        <v>475.42</v>
      </c>
      <c r="M57" s="132">
        <v>2021</v>
      </c>
      <c r="N57" s="34">
        <f t="shared" si="30"/>
        <v>24.906517646572091</v>
      </c>
      <c r="O57" s="34">
        <f t="shared" si="28"/>
        <v>2.3661191764243488</v>
      </c>
      <c r="P57" s="56">
        <f t="shared" si="29"/>
        <v>22.240622572481367</v>
      </c>
    </row>
    <row r="58" spans="2:26">
      <c r="B58" t="s">
        <v>372</v>
      </c>
      <c r="C58" s="30">
        <v>10</v>
      </c>
      <c r="D58" t="s">
        <v>373</v>
      </c>
      <c r="E58" s="30">
        <v>30</v>
      </c>
      <c r="F58" t="s">
        <v>420</v>
      </c>
      <c r="G58" s="30">
        <v>588</v>
      </c>
      <c r="H58" s="30">
        <v>588</v>
      </c>
      <c r="I58" s="30">
        <v>285</v>
      </c>
      <c r="J58" s="30">
        <v>856</v>
      </c>
      <c r="K58" s="30">
        <v>1064</v>
      </c>
      <c r="M58" s="132">
        <v>2022</v>
      </c>
      <c r="N58" s="34">
        <f t="shared" si="30"/>
        <v>22.240622572481367</v>
      </c>
      <c r="O58" s="34">
        <f t="shared" si="28"/>
        <v>2.1128591443857299</v>
      </c>
      <c r="P58" s="56">
        <f t="shared" si="29"/>
        <v>19.321467466352026</v>
      </c>
    </row>
    <row r="59" spans="2:26">
      <c r="B59" t="s">
        <v>386</v>
      </c>
      <c r="C59" s="30">
        <v>5.0320142505150711</v>
      </c>
      <c r="E59" s="30"/>
      <c r="F59" t="s">
        <v>429</v>
      </c>
      <c r="G59" s="50">
        <v>89</v>
      </c>
      <c r="H59" s="30">
        <v>69.3</v>
      </c>
      <c r="I59" s="30">
        <v>75.37</v>
      </c>
      <c r="J59" s="30">
        <v>75.760000000000005</v>
      </c>
      <c r="K59" s="30">
        <v>79.61</v>
      </c>
      <c r="M59" s="132">
        <v>2023</v>
      </c>
      <c r="N59" s="34">
        <f t="shared" si="30"/>
        <v>19.321467466352026</v>
      </c>
      <c r="O59" s="34">
        <f t="shared" si="28"/>
        <v>1.8355394093034425</v>
      </c>
      <c r="P59" s="56">
        <f t="shared" si="29"/>
        <v>16.124992625140397</v>
      </c>
    </row>
    <row r="60" spans="2:26">
      <c r="B60" t="s">
        <v>396</v>
      </c>
      <c r="C60" s="30">
        <f>C54/7</f>
        <v>8.1244285714285702</v>
      </c>
      <c r="E60" s="30"/>
      <c r="F60" t="s">
        <v>279</v>
      </c>
      <c r="G60" s="30">
        <v>1</v>
      </c>
      <c r="H60" s="30">
        <v>1</v>
      </c>
      <c r="I60" s="30">
        <v>0.88</v>
      </c>
      <c r="J60" s="30">
        <v>9.0399999999999991</v>
      </c>
      <c r="K60" s="30">
        <v>3.54</v>
      </c>
      <c r="M60" s="132">
        <v>2024</v>
      </c>
      <c r="N60" s="34">
        <f t="shared" si="30"/>
        <v>16.124992625140397</v>
      </c>
      <c r="O60" s="34">
        <f t="shared" si="28"/>
        <v>1.5318742993883376</v>
      </c>
      <c r="P60" s="56">
        <f t="shared" si="29"/>
        <v>12.624852674013663</v>
      </c>
    </row>
    <row r="61" spans="2:26">
      <c r="B61" t="s">
        <v>397</v>
      </c>
      <c r="C61" s="30">
        <v>0</v>
      </c>
      <c r="D61" t="s">
        <v>398</v>
      </c>
      <c r="E61" s="30">
        <v>3</v>
      </c>
      <c r="F61" t="s">
        <v>435</v>
      </c>
      <c r="G61" s="30">
        <v>1</v>
      </c>
      <c r="H61" s="30">
        <v>1</v>
      </c>
      <c r="I61" s="30">
        <f>1/0.85</f>
        <v>1.1764705882352942</v>
      </c>
      <c r="J61" s="30">
        <f>1/19.2</f>
        <v>5.2083333333333336E-2</v>
      </c>
      <c r="K61" s="30">
        <f>1/6.61</f>
        <v>0.15128593040847199</v>
      </c>
      <c r="M61" s="132">
        <v>2025</v>
      </c>
      <c r="N61" s="34">
        <f t="shared" si="30"/>
        <v>12.624852674013663</v>
      </c>
      <c r="O61" s="34">
        <f t="shared" si="28"/>
        <v>1.1993610040312981</v>
      </c>
      <c r="P61" s="56">
        <f t="shared" si="29"/>
        <v>8.7921994275298907</v>
      </c>
    </row>
    <row r="62" spans="2:26">
      <c r="B62" t="s">
        <v>395</v>
      </c>
      <c r="C62" s="30">
        <f>19.1*G60*G61</f>
        <v>19.100000000000001</v>
      </c>
      <c r="D62" t="s">
        <v>398</v>
      </c>
      <c r="E62" s="30">
        <v>4</v>
      </c>
      <c r="F62" t="s">
        <v>443</v>
      </c>
      <c r="G62" s="30">
        <f>G58/1000000*$C$66</f>
        <v>165236.89526399999</v>
      </c>
      <c r="H62" s="30">
        <f t="shared" ref="H62:K62" si="31">H58/1000000*$C$14</f>
        <v>0</v>
      </c>
      <c r="I62" s="30">
        <f t="shared" si="31"/>
        <v>0</v>
      </c>
      <c r="J62" s="30">
        <f t="shared" si="31"/>
        <v>0</v>
      </c>
      <c r="K62" s="30">
        <f t="shared" si="31"/>
        <v>0</v>
      </c>
      <c r="M62" s="132">
        <v>2026</v>
      </c>
      <c r="N62" s="34">
        <f t="shared" si="30"/>
        <v>8.7921994275298907</v>
      </c>
      <c r="O62" s="34">
        <f t="shared" si="28"/>
        <v>0.83525894561533964</v>
      </c>
      <c r="P62" s="56">
        <f t="shared" si="29"/>
        <v>4.5954441226301599</v>
      </c>
    </row>
    <row r="63" spans="2:26" ht="15.75" thickBot="1">
      <c r="F63" t="s">
        <v>442</v>
      </c>
      <c r="G63" s="30">
        <f>G59*$C$66/1000/1000000</f>
        <v>25.010346392000002</v>
      </c>
      <c r="H63" s="30">
        <f t="shared" ref="H63:J63" si="32">H59*$C$14/1000/1000000</f>
        <v>0</v>
      </c>
      <c r="I63" s="30">
        <f t="shared" si="32"/>
        <v>0</v>
      </c>
      <c r="J63" s="30">
        <f t="shared" si="32"/>
        <v>0</v>
      </c>
      <c r="K63" s="30">
        <f>K59*$C$14/1000/1000000</f>
        <v>0</v>
      </c>
      <c r="M63" s="133">
        <v>2027</v>
      </c>
      <c r="N63" s="57">
        <f t="shared" si="30"/>
        <v>4.5954441226301599</v>
      </c>
      <c r="O63" s="57">
        <f t="shared" si="28"/>
        <v>0.43656719164986518</v>
      </c>
      <c r="P63" s="58">
        <f t="shared" si="29"/>
        <v>-2.9362350462136533E-6</v>
      </c>
    </row>
    <row r="64" spans="2:26">
      <c r="F64" t="s">
        <v>363</v>
      </c>
      <c r="G64" s="30">
        <f>(0-AF94)*1000000/(G62*E58)</f>
        <v>3.9624135940785541</v>
      </c>
      <c r="H64" s="30"/>
      <c r="I64" s="30"/>
      <c r="J64" s="30"/>
      <c r="K64" s="30"/>
    </row>
    <row r="66" spans="2:32">
      <c r="B66" t="s">
        <v>441</v>
      </c>
      <c r="C66" s="74">
        <v>281015128</v>
      </c>
    </row>
    <row r="67" spans="2:32" ht="15.75" thickBot="1">
      <c r="B67" t="s">
        <v>434</v>
      </c>
    </row>
    <row r="68" spans="2:32">
      <c r="B68" s="25" t="s">
        <v>399</v>
      </c>
      <c r="C68" s="134">
        <v>2018</v>
      </c>
      <c r="D68" s="134">
        <v>2019</v>
      </c>
      <c r="E68" s="134">
        <v>2020</v>
      </c>
      <c r="F68" s="134">
        <v>2021</v>
      </c>
      <c r="G68" s="134">
        <v>2022</v>
      </c>
      <c r="H68" s="134">
        <v>2023</v>
      </c>
      <c r="I68" s="134">
        <v>2024</v>
      </c>
      <c r="J68" s="134">
        <v>2025</v>
      </c>
      <c r="K68" s="134">
        <v>2026</v>
      </c>
      <c r="L68" s="134">
        <v>2027</v>
      </c>
      <c r="M68" s="134">
        <v>2028</v>
      </c>
      <c r="N68" s="134">
        <v>2029</v>
      </c>
      <c r="O68" s="134">
        <v>2030</v>
      </c>
      <c r="P68" s="134">
        <v>2031</v>
      </c>
      <c r="Q68" s="134">
        <v>2032</v>
      </c>
      <c r="R68" s="134">
        <v>2033</v>
      </c>
      <c r="S68" s="134">
        <v>2034</v>
      </c>
      <c r="T68" s="134">
        <v>2035</v>
      </c>
      <c r="U68" s="134">
        <v>2036</v>
      </c>
      <c r="V68" s="134">
        <v>2037</v>
      </c>
      <c r="W68" s="134">
        <v>2038</v>
      </c>
      <c r="X68" s="134">
        <v>2039</v>
      </c>
      <c r="Y68" s="134">
        <v>2040</v>
      </c>
      <c r="Z68" s="134">
        <v>2041</v>
      </c>
      <c r="AA68" s="134">
        <v>2042</v>
      </c>
      <c r="AB68" s="134">
        <v>2043</v>
      </c>
      <c r="AC68" s="134">
        <v>2044</v>
      </c>
      <c r="AD68" s="134">
        <v>2045</v>
      </c>
      <c r="AE68" s="134">
        <v>2046</v>
      </c>
      <c r="AF68" s="135">
        <v>2047</v>
      </c>
    </row>
    <row r="69" spans="2:32">
      <c r="B69" s="27" t="s">
        <v>412</v>
      </c>
      <c r="C69" s="136">
        <f>-C59</f>
        <v>-5.0320142505150711</v>
      </c>
      <c r="D69" s="136">
        <f>-$C$59</f>
        <v>-5.0320142505150711</v>
      </c>
      <c r="E69" s="136">
        <f t="shared" ref="E69:L69" si="33">-$C$59</f>
        <v>-5.0320142505150711</v>
      </c>
      <c r="F69" s="136">
        <f t="shared" si="33"/>
        <v>-5.0320142505150711</v>
      </c>
      <c r="G69" s="136">
        <f t="shared" si="33"/>
        <v>-5.0320142505150711</v>
      </c>
      <c r="H69" s="136">
        <f t="shared" si="33"/>
        <v>-5.0320142505150711</v>
      </c>
      <c r="I69" s="136">
        <f t="shared" si="33"/>
        <v>-5.0320142505150711</v>
      </c>
      <c r="J69" s="136">
        <f>-$C$59</f>
        <v>-5.0320142505150711</v>
      </c>
      <c r="K69" s="136">
        <f t="shared" si="33"/>
        <v>-5.0320142505150711</v>
      </c>
      <c r="L69" s="136">
        <f t="shared" si="33"/>
        <v>-5.0320142505150711</v>
      </c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7"/>
    </row>
    <row r="70" spans="2:32">
      <c r="B70" s="27" t="s">
        <v>414</v>
      </c>
      <c r="C70" s="136">
        <f>C61</f>
        <v>0</v>
      </c>
      <c r="D70" s="136">
        <f>$C$61*(1+$E$57/100)^(D68-$C$68)</f>
        <v>0</v>
      </c>
      <c r="E70" s="136">
        <f t="shared" ref="E70:AF70" si="34">$C$61*(1+$E$57/100)^(E68-$C$68)</f>
        <v>0</v>
      </c>
      <c r="F70" s="136">
        <f t="shared" si="34"/>
        <v>0</v>
      </c>
      <c r="G70" s="136">
        <f t="shared" si="34"/>
        <v>0</v>
      </c>
      <c r="H70" s="136">
        <f t="shared" si="34"/>
        <v>0</v>
      </c>
      <c r="I70" s="136">
        <f t="shared" si="34"/>
        <v>0</v>
      </c>
      <c r="J70" s="136">
        <f t="shared" si="34"/>
        <v>0</v>
      </c>
      <c r="K70" s="136">
        <f t="shared" si="34"/>
        <v>0</v>
      </c>
      <c r="L70" s="136">
        <f t="shared" si="34"/>
        <v>0</v>
      </c>
      <c r="M70" s="136">
        <f t="shared" si="34"/>
        <v>0</v>
      </c>
      <c r="N70" s="136">
        <f t="shared" si="34"/>
        <v>0</v>
      </c>
      <c r="O70" s="136">
        <f t="shared" si="34"/>
        <v>0</v>
      </c>
      <c r="P70" s="136">
        <f t="shared" si="34"/>
        <v>0</v>
      </c>
      <c r="Q70" s="136">
        <f t="shared" si="34"/>
        <v>0</v>
      </c>
      <c r="R70" s="136">
        <f t="shared" si="34"/>
        <v>0</v>
      </c>
      <c r="S70" s="136">
        <f t="shared" si="34"/>
        <v>0</v>
      </c>
      <c r="T70" s="136">
        <f t="shared" si="34"/>
        <v>0</v>
      </c>
      <c r="U70" s="136">
        <f t="shared" si="34"/>
        <v>0</v>
      </c>
      <c r="V70" s="136">
        <f t="shared" si="34"/>
        <v>0</v>
      </c>
      <c r="W70" s="136">
        <f t="shared" si="34"/>
        <v>0</v>
      </c>
      <c r="X70" s="136">
        <f t="shared" si="34"/>
        <v>0</v>
      </c>
      <c r="Y70" s="136">
        <f t="shared" si="34"/>
        <v>0</v>
      </c>
      <c r="Z70" s="136">
        <f t="shared" si="34"/>
        <v>0</v>
      </c>
      <c r="AA70" s="136">
        <f t="shared" si="34"/>
        <v>0</v>
      </c>
      <c r="AB70" s="136">
        <f t="shared" si="34"/>
        <v>0</v>
      </c>
      <c r="AC70" s="136">
        <f t="shared" si="34"/>
        <v>0</v>
      </c>
      <c r="AD70" s="136">
        <f t="shared" si="34"/>
        <v>0</v>
      </c>
      <c r="AE70" s="136">
        <f t="shared" si="34"/>
        <v>0</v>
      </c>
      <c r="AF70" s="137">
        <f t="shared" si="34"/>
        <v>0</v>
      </c>
    </row>
    <row r="71" spans="2:32">
      <c r="B71" s="27" t="s">
        <v>413</v>
      </c>
      <c r="C71" s="136">
        <f>-C62</f>
        <v>-19.100000000000001</v>
      </c>
      <c r="D71" s="136">
        <f>-$C$62*(1+$E$62/100)^(D68-$C$68)</f>
        <v>-19.864000000000001</v>
      </c>
      <c r="E71" s="136">
        <f>-$C$62*(1+$E$62/100)^(E68-$C$68)</f>
        <v>-20.658560000000005</v>
      </c>
      <c r="F71" s="136">
        <f t="shared" ref="F71:AF71" si="35">-$C$62*(1+$E$62/100)^(F68-$C$68)</f>
        <v>-21.484902400000003</v>
      </c>
      <c r="G71" s="136">
        <f t="shared" si="35"/>
        <v>-22.344298496000008</v>
      </c>
      <c r="H71" s="136">
        <f t="shared" si="35"/>
        <v>-23.238070435840008</v>
      </c>
      <c r="I71" s="136">
        <f t="shared" si="35"/>
        <v>-24.167593253273608</v>
      </c>
      <c r="J71" s="136">
        <f t="shared" si="35"/>
        <v>-25.13429698340455</v>
      </c>
      <c r="K71" s="136">
        <f t="shared" si="35"/>
        <v>-26.139668862740738</v>
      </c>
      <c r="L71" s="136">
        <f t="shared" si="35"/>
        <v>-27.18525561725037</v>
      </c>
      <c r="M71" s="136">
        <f t="shared" si="35"/>
        <v>-28.272665841940384</v>
      </c>
      <c r="N71" s="136">
        <f t="shared" si="35"/>
        <v>-29.403572475617995</v>
      </c>
      <c r="O71" s="136">
        <f t="shared" si="35"/>
        <v>-30.579715374642724</v>
      </c>
      <c r="P71" s="136">
        <f t="shared" si="35"/>
        <v>-31.802903989628433</v>
      </c>
      <c r="Q71" s="136">
        <f t="shared" si="35"/>
        <v>-33.075020149213572</v>
      </c>
      <c r="R71" s="136">
        <f t="shared" si="35"/>
        <v>-34.398020955182112</v>
      </c>
      <c r="S71" s="136">
        <f t="shared" si="35"/>
        <v>-35.773941793389405</v>
      </c>
      <c r="T71" s="136">
        <f t="shared" si="35"/>
        <v>-37.204899465124981</v>
      </c>
      <c r="U71" s="136">
        <f t="shared" si="35"/>
        <v>-38.69309544372998</v>
      </c>
      <c r="V71" s="136">
        <f t="shared" si="35"/>
        <v>-40.240819261479182</v>
      </c>
      <c r="W71" s="136">
        <f t="shared" si="35"/>
        <v>-41.850452031938346</v>
      </c>
      <c r="X71" s="136">
        <f t="shared" si="35"/>
        <v>-43.524470113215891</v>
      </c>
      <c r="Y71" s="136">
        <f t="shared" si="35"/>
        <v>-45.265448917744529</v>
      </c>
      <c r="Z71" s="136">
        <f t="shared" si="35"/>
        <v>-47.076066874454305</v>
      </c>
      <c r="AA71" s="136">
        <f t="shared" si="35"/>
        <v>-48.959109549432483</v>
      </c>
      <c r="AB71" s="136">
        <f t="shared" si="35"/>
        <v>-50.917473931409788</v>
      </c>
      <c r="AC71" s="136">
        <f t="shared" si="35"/>
        <v>-52.954172888666179</v>
      </c>
      <c r="AD71" s="136">
        <f t="shared" si="35"/>
        <v>-55.072339804212824</v>
      </c>
      <c r="AE71" s="136">
        <f t="shared" si="35"/>
        <v>-57.275233396381353</v>
      </c>
      <c r="AF71" s="137">
        <f t="shared" si="35"/>
        <v>-59.566242732236603</v>
      </c>
    </row>
    <row r="72" spans="2:32">
      <c r="B72" s="97" t="s">
        <v>415</v>
      </c>
      <c r="C72" s="136">
        <f>SUM(C69:C71)</f>
        <v>-24.132014250515073</v>
      </c>
      <c r="D72" s="136">
        <f>SUM(D69:D71)</f>
        <v>-24.896014250515073</v>
      </c>
      <c r="E72" s="136">
        <f>SUM(E69:E71)</f>
        <v>-25.690574250515077</v>
      </c>
      <c r="F72" s="136">
        <f t="shared" ref="F72:AF72" si="36">SUM(F69:F71)</f>
        <v>-26.516916650515075</v>
      </c>
      <c r="G72" s="136">
        <f t="shared" si="36"/>
        <v>-27.37631274651508</v>
      </c>
      <c r="H72" s="136">
        <f t="shared" si="36"/>
        <v>-28.27008468635508</v>
      </c>
      <c r="I72" s="136">
        <f t="shared" si="36"/>
        <v>-29.19960750378868</v>
      </c>
      <c r="J72" s="136">
        <f t="shared" si="36"/>
        <v>-30.166311233919622</v>
      </c>
      <c r="K72" s="136">
        <f t="shared" si="36"/>
        <v>-31.17168311325581</v>
      </c>
      <c r="L72" s="136">
        <f t="shared" si="36"/>
        <v>-32.217269867765438</v>
      </c>
      <c r="M72" s="136">
        <f t="shared" si="36"/>
        <v>-28.272665841940384</v>
      </c>
      <c r="N72" s="136">
        <f t="shared" si="36"/>
        <v>-29.403572475617995</v>
      </c>
      <c r="O72" s="136">
        <f t="shared" si="36"/>
        <v>-30.579715374642724</v>
      </c>
      <c r="P72" s="136">
        <f t="shared" si="36"/>
        <v>-31.802903989628433</v>
      </c>
      <c r="Q72" s="136">
        <f t="shared" si="36"/>
        <v>-33.075020149213572</v>
      </c>
      <c r="R72" s="136">
        <f t="shared" si="36"/>
        <v>-34.398020955182112</v>
      </c>
      <c r="S72" s="136">
        <f t="shared" si="36"/>
        <v>-35.773941793389405</v>
      </c>
      <c r="T72" s="136">
        <f t="shared" si="36"/>
        <v>-37.204899465124981</v>
      </c>
      <c r="U72" s="136">
        <f t="shared" si="36"/>
        <v>-38.69309544372998</v>
      </c>
      <c r="V72" s="136">
        <f t="shared" si="36"/>
        <v>-40.240819261479182</v>
      </c>
      <c r="W72" s="136">
        <f t="shared" si="36"/>
        <v>-41.850452031938346</v>
      </c>
      <c r="X72" s="136">
        <f t="shared" si="36"/>
        <v>-43.524470113215891</v>
      </c>
      <c r="Y72" s="136">
        <f t="shared" si="36"/>
        <v>-45.265448917744529</v>
      </c>
      <c r="Z72" s="136">
        <f t="shared" si="36"/>
        <v>-47.076066874454305</v>
      </c>
      <c r="AA72" s="136">
        <f t="shared" si="36"/>
        <v>-48.959109549432483</v>
      </c>
      <c r="AB72" s="136">
        <f t="shared" si="36"/>
        <v>-50.917473931409788</v>
      </c>
      <c r="AC72" s="136">
        <f t="shared" si="36"/>
        <v>-52.954172888666179</v>
      </c>
      <c r="AD72" s="136">
        <f t="shared" si="36"/>
        <v>-55.072339804212824</v>
      </c>
      <c r="AE72" s="136">
        <f t="shared" si="36"/>
        <v>-57.275233396381353</v>
      </c>
      <c r="AF72" s="137">
        <f t="shared" si="36"/>
        <v>-59.566242732236603</v>
      </c>
    </row>
    <row r="73" spans="2:32">
      <c r="B73" s="27" t="s">
        <v>423</v>
      </c>
      <c r="C73" s="136">
        <f>-$C$60</f>
        <v>-8.1244285714285702</v>
      </c>
      <c r="D73" s="136">
        <f t="shared" ref="D73:I73" si="37">-$C$60</f>
        <v>-8.1244285714285702</v>
      </c>
      <c r="E73" s="136">
        <f t="shared" si="37"/>
        <v>-8.1244285714285702</v>
      </c>
      <c r="F73" s="136">
        <f t="shared" si="37"/>
        <v>-8.1244285714285702</v>
      </c>
      <c r="G73" s="136">
        <f t="shared" si="37"/>
        <v>-8.1244285714285702</v>
      </c>
      <c r="H73" s="136">
        <f t="shared" si="37"/>
        <v>-8.1244285714285702</v>
      </c>
      <c r="I73" s="136">
        <f t="shared" si="37"/>
        <v>-8.1244285714285702</v>
      </c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7"/>
    </row>
    <row r="74" spans="2:32">
      <c r="B74" s="143" t="s">
        <v>424</v>
      </c>
      <c r="C74" s="144">
        <f>E55</f>
        <v>31.594999999999999</v>
      </c>
      <c r="D74" s="144">
        <f>C74-C75-$C$59</f>
        <v>29.564510749484928</v>
      </c>
      <c r="E74" s="144">
        <f t="shared" ref="E74:L74" si="38">D74-D75-$C$59</f>
        <v>27.341125020170924</v>
      </c>
      <c r="F74" s="144">
        <f t="shared" si="38"/>
        <v>24.906517646572091</v>
      </c>
      <c r="G74" s="144">
        <f t="shared" si="38"/>
        <v>22.240622572481367</v>
      </c>
      <c r="H74" s="144">
        <f t="shared" si="38"/>
        <v>19.321467466352026</v>
      </c>
      <c r="I74" s="144">
        <f t="shared" si="38"/>
        <v>16.124992625140397</v>
      </c>
      <c r="J74" s="144">
        <f t="shared" si="38"/>
        <v>12.624852674013663</v>
      </c>
      <c r="K74" s="144">
        <f t="shared" si="38"/>
        <v>8.7921994275298907</v>
      </c>
      <c r="L74" s="144">
        <f t="shared" si="38"/>
        <v>4.5954441226301599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7"/>
    </row>
    <row r="75" spans="2:32">
      <c r="B75" s="27" t="s">
        <v>425</v>
      </c>
      <c r="C75" s="136">
        <f>-C74*$C$57/100</f>
        <v>-3.0015249999999996</v>
      </c>
      <c r="D75" s="136">
        <f t="shared" ref="D75:L75" si="39">-D74*$C$57/100</f>
        <v>-2.8086285212010682</v>
      </c>
      <c r="E75" s="136">
        <f t="shared" si="39"/>
        <v>-2.5974068769162382</v>
      </c>
      <c r="F75" s="136">
        <f t="shared" si="39"/>
        <v>-2.3661191764243488</v>
      </c>
      <c r="G75" s="136">
        <f t="shared" si="39"/>
        <v>-2.1128591443857299</v>
      </c>
      <c r="H75" s="136">
        <f t="shared" si="39"/>
        <v>-1.8355394093034425</v>
      </c>
      <c r="I75" s="136">
        <f t="shared" si="39"/>
        <v>-1.5318742993883376</v>
      </c>
      <c r="J75" s="136">
        <f t="shared" si="39"/>
        <v>-1.1993610040312981</v>
      </c>
      <c r="K75" s="136">
        <f t="shared" si="39"/>
        <v>-0.83525894561533964</v>
      </c>
      <c r="L75" s="136">
        <f t="shared" si="39"/>
        <v>-0.43656719164986518</v>
      </c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7"/>
    </row>
    <row r="76" spans="2:32">
      <c r="B76" s="145" t="s">
        <v>426</v>
      </c>
      <c r="C76" s="146">
        <f t="shared" ref="C76:AF76" si="40">C70+C71+C73+C75</f>
        <v>-30.225953571428573</v>
      </c>
      <c r="D76" s="146">
        <f t="shared" si="40"/>
        <v>-30.79705709262964</v>
      </c>
      <c r="E76" s="146">
        <f t="shared" si="40"/>
        <v>-31.380395448344814</v>
      </c>
      <c r="F76" s="146">
        <f t="shared" si="40"/>
        <v>-31.975450147852921</v>
      </c>
      <c r="G76" s="146">
        <f t="shared" si="40"/>
        <v>-32.581586211814304</v>
      </c>
      <c r="H76" s="146">
        <f t="shared" si="40"/>
        <v>-33.198038416572018</v>
      </c>
      <c r="I76" s="146">
        <f t="shared" si="40"/>
        <v>-33.82389612409051</v>
      </c>
      <c r="J76" s="146">
        <f t="shared" si="40"/>
        <v>-26.333657987435849</v>
      </c>
      <c r="K76" s="146">
        <f t="shared" si="40"/>
        <v>-26.974927808356078</v>
      </c>
      <c r="L76" s="146">
        <f t="shared" si="40"/>
        <v>-27.621822808900234</v>
      </c>
      <c r="M76" s="146">
        <f t="shared" si="40"/>
        <v>-28.272665841940384</v>
      </c>
      <c r="N76" s="146">
        <f t="shared" si="40"/>
        <v>-29.403572475617995</v>
      </c>
      <c r="O76" s="146">
        <f t="shared" si="40"/>
        <v>-30.579715374642724</v>
      </c>
      <c r="P76" s="146">
        <f t="shared" si="40"/>
        <v>-31.802903989628433</v>
      </c>
      <c r="Q76" s="146">
        <f t="shared" si="40"/>
        <v>-33.075020149213572</v>
      </c>
      <c r="R76" s="146">
        <f t="shared" si="40"/>
        <v>-34.398020955182112</v>
      </c>
      <c r="S76" s="146">
        <f t="shared" si="40"/>
        <v>-35.773941793389405</v>
      </c>
      <c r="T76" s="146">
        <f t="shared" si="40"/>
        <v>-37.204899465124981</v>
      </c>
      <c r="U76" s="146">
        <f t="shared" si="40"/>
        <v>-38.69309544372998</v>
      </c>
      <c r="V76" s="146">
        <f t="shared" si="40"/>
        <v>-40.240819261479182</v>
      </c>
      <c r="W76" s="146">
        <f t="shared" si="40"/>
        <v>-41.850452031938346</v>
      </c>
      <c r="X76" s="146">
        <f t="shared" si="40"/>
        <v>-43.524470113215891</v>
      </c>
      <c r="Y76" s="146">
        <f t="shared" si="40"/>
        <v>-45.265448917744529</v>
      </c>
      <c r="Z76" s="146">
        <f t="shared" si="40"/>
        <v>-47.076066874454305</v>
      </c>
      <c r="AA76" s="146">
        <f t="shared" si="40"/>
        <v>-48.959109549432483</v>
      </c>
      <c r="AB76" s="146">
        <f t="shared" si="40"/>
        <v>-50.917473931409788</v>
      </c>
      <c r="AC76" s="146">
        <f t="shared" si="40"/>
        <v>-52.954172888666179</v>
      </c>
      <c r="AD76" s="146">
        <f t="shared" si="40"/>
        <v>-55.072339804212824</v>
      </c>
      <c r="AE76" s="146">
        <f t="shared" si="40"/>
        <v>-57.275233396381353</v>
      </c>
      <c r="AF76" s="147">
        <f t="shared" si="40"/>
        <v>-59.566242732236603</v>
      </c>
    </row>
    <row r="77" spans="2:32">
      <c r="B77" s="97" t="s">
        <v>453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7"/>
    </row>
    <row r="78" spans="2:32">
      <c r="B78" s="96" t="s">
        <v>454</v>
      </c>
      <c r="C78" s="136">
        <v>0</v>
      </c>
      <c r="D78" s="136">
        <f>C82</f>
        <v>-30.225953571428573</v>
      </c>
      <c r="E78" s="136">
        <f t="shared" ref="E78:AF78" si="41">D82</f>
        <v>-61.023010664058212</v>
      </c>
      <c r="F78" s="136">
        <f t="shared" si="41"/>
        <v>-92.403406112403019</v>
      </c>
      <c r="G78" s="136">
        <f t="shared" si="41"/>
        <v>-124.37885626025594</v>
      </c>
      <c r="H78" s="136">
        <f t="shared" si="41"/>
        <v>-156.96044247207024</v>
      </c>
      <c r="I78" s="136">
        <f t="shared" si="41"/>
        <v>-190.15848088864226</v>
      </c>
      <c r="J78" s="136">
        <f t="shared" si="41"/>
        <v>-223.98237701273277</v>
      </c>
      <c r="K78" s="136">
        <f t="shared" si="41"/>
        <v>-250.31603500016863</v>
      </c>
      <c r="L78" s="136">
        <f t="shared" si="41"/>
        <v>-277.29096280852468</v>
      </c>
      <c r="M78" s="136">
        <f t="shared" si="41"/>
        <v>-304.9127856174249</v>
      </c>
      <c r="N78" s="136">
        <f t="shared" si="41"/>
        <v>-333.18545145936531</v>
      </c>
      <c r="O78" s="136">
        <f t="shared" si="41"/>
        <v>-362.58902393498329</v>
      </c>
      <c r="P78" s="136">
        <f t="shared" si="41"/>
        <v>-393.16873930962601</v>
      </c>
      <c r="Q78" s="136">
        <f t="shared" si="41"/>
        <v>-424.97164329925442</v>
      </c>
      <c r="R78" s="136">
        <f t="shared" si="41"/>
        <v>-458.046663448468</v>
      </c>
      <c r="S78" s="136">
        <f t="shared" si="41"/>
        <v>-492.44468440365011</v>
      </c>
      <c r="T78" s="136">
        <f t="shared" si="41"/>
        <v>-528.2186261970395</v>
      </c>
      <c r="U78" s="136">
        <f t="shared" si="41"/>
        <v>-565.42352566216448</v>
      </c>
      <c r="V78" s="136">
        <f t="shared" si="41"/>
        <v>-604.11662110589441</v>
      </c>
      <c r="W78" s="136">
        <f t="shared" si="41"/>
        <v>-644.35744036737356</v>
      </c>
      <c r="X78" s="136">
        <f t="shared" si="41"/>
        <v>-686.20789239931196</v>
      </c>
      <c r="Y78" s="136">
        <f t="shared" si="41"/>
        <v>-729.73236251252786</v>
      </c>
      <c r="Z78" s="136">
        <f t="shared" si="41"/>
        <v>-774.99781143027235</v>
      </c>
      <c r="AA78" s="136">
        <f t="shared" si="41"/>
        <v>-822.07387830472669</v>
      </c>
      <c r="AB78" s="136">
        <f t="shared" si="41"/>
        <v>-871.03298785415916</v>
      </c>
      <c r="AC78" s="136">
        <f t="shared" si="41"/>
        <v>-921.9504617855689</v>
      </c>
      <c r="AD78" s="136">
        <f t="shared" si="41"/>
        <v>-974.90463467423513</v>
      </c>
      <c r="AE78" s="136">
        <f t="shared" si="41"/>
        <v>-1029.976974478448</v>
      </c>
      <c r="AF78" s="137">
        <f t="shared" si="41"/>
        <v>-1087.2522078748293</v>
      </c>
    </row>
    <row r="79" spans="2:32">
      <c r="B79" s="148" t="s">
        <v>455</v>
      </c>
      <c r="C79" s="146">
        <f>IF(C76&lt;0,C76,IF(C76&gt;0,0))</f>
        <v>-30.225953571428573</v>
      </c>
      <c r="D79" s="146">
        <f t="shared" ref="D79:AF79" si="42">IF(D76&lt;0,D76,IF(D76&gt;0,0))</f>
        <v>-30.79705709262964</v>
      </c>
      <c r="E79" s="146">
        <f t="shared" si="42"/>
        <v>-31.380395448344814</v>
      </c>
      <c r="F79" s="146">
        <f t="shared" si="42"/>
        <v>-31.975450147852921</v>
      </c>
      <c r="G79" s="146">
        <f t="shared" si="42"/>
        <v>-32.581586211814304</v>
      </c>
      <c r="H79" s="146">
        <f t="shared" si="42"/>
        <v>-33.198038416572018</v>
      </c>
      <c r="I79" s="146">
        <f t="shared" si="42"/>
        <v>-33.82389612409051</v>
      </c>
      <c r="J79" s="146">
        <f t="shared" si="42"/>
        <v>-26.333657987435849</v>
      </c>
      <c r="K79" s="146">
        <f t="shared" si="42"/>
        <v>-26.974927808356078</v>
      </c>
      <c r="L79" s="146">
        <f t="shared" si="42"/>
        <v>-27.621822808900234</v>
      </c>
      <c r="M79" s="146">
        <f t="shared" si="42"/>
        <v>-28.272665841940384</v>
      </c>
      <c r="N79" s="146">
        <f t="shared" si="42"/>
        <v>-29.403572475617995</v>
      </c>
      <c r="O79" s="146">
        <f t="shared" si="42"/>
        <v>-30.579715374642724</v>
      </c>
      <c r="P79" s="146">
        <f t="shared" si="42"/>
        <v>-31.802903989628433</v>
      </c>
      <c r="Q79" s="146">
        <f t="shared" si="42"/>
        <v>-33.075020149213572</v>
      </c>
      <c r="R79" s="146">
        <f t="shared" si="42"/>
        <v>-34.398020955182112</v>
      </c>
      <c r="S79" s="146">
        <f t="shared" si="42"/>
        <v>-35.773941793389405</v>
      </c>
      <c r="T79" s="146">
        <f t="shared" si="42"/>
        <v>-37.204899465124981</v>
      </c>
      <c r="U79" s="146">
        <f t="shared" si="42"/>
        <v>-38.69309544372998</v>
      </c>
      <c r="V79" s="146">
        <f t="shared" si="42"/>
        <v>-40.240819261479182</v>
      </c>
      <c r="W79" s="146">
        <f t="shared" si="42"/>
        <v>-41.850452031938346</v>
      </c>
      <c r="X79" s="146">
        <f t="shared" si="42"/>
        <v>-43.524470113215891</v>
      </c>
      <c r="Y79" s="146">
        <f t="shared" si="42"/>
        <v>-45.265448917744529</v>
      </c>
      <c r="Z79" s="146">
        <f t="shared" si="42"/>
        <v>-47.076066874454305</v>
      </c>
      <c r="AA79" s="146">
        <f t="shared" si="42"/>
        <v>-48.959109549432483</v>
      </c>
      <c r="AB79" s="146">
        <f t="shared" si="42"/>
        <v>-50.917473931409788</v>
      </c>
      <c r="AC79" s="146">
        <f t="shared" si="42"/>
        <v>-52.954172888666179</v>
      </c>
      <c r="AD79" s="146">
        <f t="shared" si="42"/>
        <v>-55.072339804212824</v>
      </c>
      <c r="AE79" s="146">
        <f t="shared" si="42"/>
        <v>-57.275233396381353</v>
      </c>
      <c r="AF79" s="147">
        <f t="shared" si="42"/>
        <v>-59.566242732236603</v>
      </c>
    </row>
    <row r="80" spans="2:32">
      <c r="B80" s="96" t="s">
        <v>456</v>
      </c>
      <c r="C80" s="136">
        <f>C78+C79</f>
        <v>-30.225953571428573</v>
      </c>
      <c r="D80" s="136">
        <f t="shared" ref="D80:AF80" si="43">D78+D79</f>
        <v>-61.023010664058212</v>
      </c>
      <c r="E80" s="136">
        <f t="shared" si="43"/>
        <v>-92.403406112403019</v>
      </c>
      <c r="F80" s="136">
        <f t="shared" si="43"/>
        <v>-124.37885626025594</v>
      </c>
      <c r="G80" s="136">
        <f t="shared" si="43"/>
        <v>-156.96044247207024</v>
      </c>
      <c r="H80" s="136">
        <f t="shared" si="43"/>
        <v>-190.15848088864226</v>
      </c>
      <c r="I80" s="136">
        <f t="shared" si="43"/>
        <v>-223.98237701273277</v>
      </c>
      <c r="J80" s="136">
        <f t="shared" si="43"/>
        <v>-250.31603500016863</v>
      </c>
      <c r="K80" s="136">
        <f t="shared" si="43"/>
        <v>-277.29096280852468</v>
      </c>
      <c r="L80" s="136">
        <f t="shared" si="43"/>
        <v>-304.9127856174249</v>
      </c>
      <c r="M80" s="136">
        <f t="shared" si="43"/>
        <v>-333.18545145936531</v>
      </c>
      <c r="N80" s="136">
        <f t="shared" si="43"/>
        <v>-362.58902393498329</v>
      </c>
      <c r="O80" s="136">
        <f t="shared" si="43"/>
        <v>-393.16873930962601</v>
      </c>
      <c r="P80" s="136">
        <f t="shared" si="43"/>
        <v>-424.97164329925442</v>
      </c>
      <c r="Q80" s="136">
        <f t="shared" si="43"/>
        <v>-458.046663448468</v>
      </c>
      <c r="R80" s="136">
        <f t="shared" si="43"/>
        <v>-492.44468440365011</v>
      </c>
      <c r="S80" s="136">
        <f t="shared" si="43"/>
        <v>-528.2186261970395</v>
      </c>
      <c r="T80" s="136">
        <f t="shared" si="43"/>
        <v>-565.42352566216448</v>
      </c>
      <c r="U80" s="136">
        <f t="shared" si="43"/>
        <v>-604.11662110589441</v>
      </c>
      <c r="V80" s="136">
        <f t="shared" si="43"/>
        <v>-644.35744036737356</v>
      </c>
      <c r="W80" s="136">
        <f t="shared" si="43"/>
        <v>-686.20789239931196</v>
      </c>
      <c r="X80" s="136">
        <f t="shared" si="43"/>
        <v>-729.73236251252786</v>
      </c>
      <c r="Y80" s="136">
        <f t="shared" si="43"/>
        <v>-774.99781143027235</v>
      </c>
      <c r="Z80" s="136">
        <f t="shared" si="43"/>
        <v>-822.07387830472669</v>
      </c>
      <c r="AA80" s="136">
        <f t="shared" si="43"/>
        <v>-871.03298785415916</v>
      </c>
      <c r="AB80" s="136">
        <f t="shared" si="43"/>
        <v>-921.9504617855689</v>
      </c>
      <c r="AC80" s="136">
        <f t="shared" si="43"/>
        <v>-974.90463467423513</v>
      </c>
      <c r="AD80" s="136">
        <f t="shared" si="43"/>
        <v>-1029.976974478448</v>
      </c>
      <c r="AE80" s="136">
        <f t="shared" si="43"/>
        <v>-1087.2522078748293</v>
      </c>
      <c r="AF80" s="137">
        <f t="shared" si="43"/>
        <v>-1146.8184506070659</v>
      </c>
    </row>
    <row r="81" spans="2:32">
      <c r="B81" s="148" t="s">
        <v>457</v>
      </c>
      <c r="C81" s="146">
        <f>IF(C76&lt;0,0,IF(C76+C80&lt;0,C76,IF(C76+C80&gt;0,-C80)))</f>
        <v>0</v>
      </c>
      <c r="D81" s="146">
        <f t="shared" ref="D81:AF81" si="44">IF(D76&lt;0,0,IF(D76+D80&lt;0,D76,IF(D76+D80&gt;0,-D80)))</f>
        <v>0</v>
      </c>
      <c r="E81" s="146">
        <f t="shared" si="44"/>
        <v>0</v>
      </c>
      <c r="F81" s="146">
        <f t="shared" si="44"/>
        <v>0</v>
      </c>
      <c r="G81" s="146">
        <f t="shared" si="44"/>
        <v>0</v>
      </c>
      <c r="H81" s="146">
        <f t="shared" si="44"/>
        <v>0</v>
      </c>
      <c r="I81" s="146">
        <f t="shared" si="44"/>
        <v>0</v>
      </c>
      <c r="J81" s="146">
        <f t="shared" si="44"/>
        <v>0</v>
      </c>
      <c r="K81" s="146">
        <f t="shared" si="44"/>
        <v>0</v>
      </c>
      <c r="L81" s="146">
        <f t="shared" si="44"/>
        <v>0</v>
      </c>
      <c r="M81" s="146">
        <f t="shared" si="44"/>
        <v>0</v>
      </c>
      <c r="N81" s="146">
        <f t="shared" si="44"/>
        <v>0</v>
      </c>
      <c r="O81" s="146">
        <f t="shared" si="44"/>
        <v>0</v>
      </c>
      <c r="P81" s="146">
        <f t="shared" si="44"/>
        <v>0</v>
      </c>
      <c r="Q81" s="146">
        <f t="shared" si="44"/>
        <v>0</v>
      </c>
      <c r="R81" s="146">
        <f t="shared" si="44"/>
        <v>0</v>
      </c>
      <c r="S81" s="146">
        <f t="shared" si="44"/>
        <v>0</v>
      </c>
      <c r="T81" s="146">
        <f t="shared" si="44"/>
        <v>0</v>
      </c>
      <c r="U81" s="146">
        <f t="shared" si="44"/>
        <v>0</v>
      </c>
      <c r="V81" s="146">
        <f t="shared" si="44"/>
        <v>0</v>
      </c>
      <c r="W81" s="146">
        <f t="shared" si="44"/>
        <v>0</v>
      </c>
      <c r="X81" s="146">
        <f t="shared" si="44"/>
        <v>0</v>
      </c>
      <c r="Y81" s="146">
        <f t="shared" si="44"/>
        <v>0</v>
      </c>
      <c r="Z81" s="146">
        <f t="shared" si="44"/>
        <v>0</v>
      </c>
      <c r="AA81" s="146">
        <f t="shared" si="44"/>
        <v>0</v>
      </c>
      <c r="AB81" s="146">
        <f t="shared" si="44"/>
        <v>0</v>
      </c>
      <c r="AC81" s="146">
        <f t="shared" si="44"/>
        <v>0</v>
      </c>
      <c r="AD81" s="146">
        <f t="shared" si="44"/>
        <v>0</v>
      </c>
      <c r="AE81" s="146">
        <f t="shared" si="44"/>
        <v>0</v>
      </c>
      <c r="AF81" s="147">
        <f t="shared" si="44"/>
        <v>0</v>
      </c>
    </row>
    <row r="82" spans="2:32">
      <c r="B82" s="148" t="s">
        <v>458</v>
      </c>
      <c r="C82" s="146">
        <f>C80+C81</f>
        <v>-30.225953571428573</v>
      </c>
      <c r="D82" s="146">
        <f t="shared" ref="D82:AF82" si="45">D80+D81</f>
        <v>-61.023010664058212</v>
      </c>
      <c r="E82" s="146">
        <f t="shared" si="45"/>
        <v>-92.403406112403019</v>
      </c>
      <c r="F82" s="146">
        <f t="shared" si="45"/>
        <v>-124.37885626025594</v>
      </c>
      <c r="G82" s="146">
        <f t="shared" si="45"/>
        <v>-156.96044247207024</v>
      </c>
      <c r="H82" s="146">
        <f t="shared" si="45"/>
        <v>-190.15848088864226</v>
      </c>
      <c r="I82" s="146">
        <f t="shared" si="45"/>
        <v>-223.98237701273277</v>
      </c>
      <c r="J82" s="146">
        <f t="shared" si="45"/>
        <v>-250.31603500016863</v>
      </c>
      <c r="K82" s="146">
        <f t="shared" si="45"/>
        <v>-277.29096280852468</v>
      </c>
      <c r="L82" s="146">
        <f t="shared" si="45"/>
        <v>-304.9127856174249</v>
      </c>
      <c r="M82" s="146">
        <f t="shared" si="45"/>
        <v>-333.18545145936531</v>
      </c>
      <c r="N82" s="146">
        <f t="shared" si="45"/>
        <v>-362.58902393498329</v>
      </c>
      <c r="O82" s="146">
        <f t="shared" si="45"/>
        <v>-393.16873930962601</v>
      </c>
      <c r="P82" s="146">
        <f t="shared" si="45"/>
        <v>-424.97164329925442</v>
      </c>
      <c r="Q82" s="146">
        <f t="shared" si="45"/>
        <v>-458.046663448468</v>
      </c>
      <c r="R82" s="146">
        <f t="shared" si="45"/>
        <v>-492.44468440365011</v>
      </c>
      <c r="S82" s="146">
        <f t="shared" si="45"/>
        <v>-528.2186261970395</v>
      </c>
      <c r="T82" s="146">
        <f t="shared" si="45"/>
        <v>-565.42352566216448</v>
      </c>
      <c r="U82" s="146">
        <f t="shared" si="45"/>
        <v>-604.11662110589441</v>
      </c>
      <c r="V82" s="146">
        <f t="shared" si="45"/>
        <v>-644.35744036737356</v>
      </c>
      <c r="W82" s="146">
        <f t="shared" si="45"/>
        <v>-686.20789239931196</v>
      </c>
      <c r="X82" s="146">
        <f t="shared" si="45"/>
        <v>-729.73236251252786</v>
      </c>
      <c r="Y82" s="146">
        <f t="shared" si="45"/>
        <v>-774.99781143027235</v>
      </c>
      <c r="Z82" s="146">
        <f t="shared" si="45"/>
        <v>-822.07387830472669</v>
      </c>
      <c r="AA82" s="146">
        <f t="shared" si="45"/>
        <v>-871.03298785415916</v>
      </c>
      <c r="AB82" s="146">
        <f t="shared" si="45"/>
        <v>-921.9504617855689</v>
      </c>
      <c r="AC82" s="146">
        <f t="shared" si="45"/>
        <v>-974.90463467423513</v>
      </c>
      <c r="AD82" s="146">
        <f t="shared" si="45"/>
        <v>-1029.976974478448</v>
      </c>
      <c r="AE82" s="146">
        <f t="shared" si="45"/>
        <v>-1087.2522078748293</v>
      </c>
      <c r="AF82" s="147">
        <f t="shared" si="45"/>
        <v>-1146.8184506070659</v>
      </c>
    </row>
    <row r="83" spans="2:32">
      <c r="B83" s="27" t="s">
        <v>427</v>
      </c>
      <c r="C83" s="136">
        <f>IF(C76&lt;0,0,IF(C76&gt;0,-(C76-C81)*$G$2/100))</f>
        <v>0</v>
      </c>
      <c r="D83" s="136">
        <f t="shared" ref="D83:AF83" si="46">IF(D76&lt;0,0,IF(D76&gt;0,-(D76-D81)*$G$2/100))</f>
        <v>0</v>
      </c>
      <c r="E83" s="136">
        <f t="shared" si="46"/>
        <v>0</v>
      </c>
      <c r="F83" s="136">
        <f t="shared" si="46"/>
        <v>0</v>
      </c>
      <c r="G83" s="136">
        <f t="shared" si="46"/>
        <v>0</v>
      </c>
      <c r="H83" s="136">
        <f t="shared" si="46"/>
        <v>0</v>
      </c>
      <c r="I83" s="136">
        <f t="shared" si="46"/>
        <v>0</v>
      </c>
      <c r="J83" s="136">
        <f t="shared" si="46"/>
        <v>0</v>
      </c>
      <c r="K83" s="136">
        <f t="shared" si="46"/>
        <v>0</v>
      </c>
      <c r="L83" s="136">
        <f t="shared" si="46"/>
        <v>0</v>
      </c>
      <c r="M83" s="136">
        <f t="shared" si="46"/>
        <v>0</v>
      </c>
      <c r="N83" s="136">
        <f t="shared" si="46"/>
        <v>0</v>
      </c>
      <c r="O83" s="136">
        <f t="shared" si="46"/>
        <v>0</v>
      </c>
      <c r="P83" s="136">
        <f t="shared" si="46"/>
        <v>0</v>
      </c>
      <c r="Q83" s="136">
        <f t="shared" si="46"/>
        <v>0</v>
      </c>
      <c r="R83" s="136">
        <f t="shared" si="46"/>
        <v>0</v>
      </c>
      <c r="S83" s="136">
        <f t="shared" si="46"/>
        <v>0</v>
      </c>
      <c r="T83" s="136">
        <f t="shared" si="46"/>
        <v>0</v>
      </c>
      <c r="U83" s="136">
        <f t="shared" si="46"/>
        <v>0</v>
      </c>
      <c r="V83" s="136">
        <f t="shared" si="46"/>
        <v>0</v>
      </c>
      <c r="W83" s="136">
        <f t="shared" si="46"/>
        <v>0</v>
      </c>
      <c r="X83" s="136">
        <f t="shared" si="46"/>
        <v>0</v>
      </c>
      <c r="Y83" s="136">
        <f t="shared" si="46"/>
        <v>0</v>
      </c>
      <c r="Z83" s="136">
        <f t="shared" si="46"/>
        <v>0</v>
      </c>
      <c r="AA83" s="136">
        <f t="shared" si="46"/>
        <v>0</v>
      </c>
      <c r="AB83" s="136">
        <f t="shared" si="46"/>
        <v>0</v>
      </c>
      <c r="AC83" s="136">
        <f t="shared" si="46"/>
        <v>0</v>
      </c>
      <c r="AD83" s="136">
        <f t="shared" si="46"/>
        <v>0</v>
      </c>
      <c r="AE83" s="136">
        <f t="shared" si="46"/>
        <v>0</v>
      </c>
      <c r="AF83" s="137">
        <f t="shared" si="46"/>
        <v>0</v>
      </c>
    </row>
    <row r="84" spans="2:32">
      <c r="B84" s="97" t="s">
        <v>428</v>
      </c>
      <c r="C84" s="136">
        <f t="shared" ref="C84:AF84" si="47">C72+C83</f>
        <v>-24.132014250515073</v>
      </c>
      <c r="D84" s="136">
        <f t="shared" si="47"/>
        <v>-24.896014250515073</v>
      </c>
      <c r="E84" s="136">
        <f t="shared" si="47"/>
        <v>-25.690574250515077</v>
      </c>
      <c r="F84" s="136">
        <f t="shared" si="47"/>
        <v>-26.516916650515075</v>
      </c>
      <c r="G84" s="136">
        <f t="shared" si="47"/>
        <v>-27.37631274651508</v>
      </c>
      <c r="H84" s="136">
        <f t="shared" si="47"/>
        <v>-28.27008468635508</v>
      </c>
      <c r="I84" s="136">
        <f t="shared" si="47"/>
        <v>-29.19960750378868</v>
      </c>
      <c r="J84" s="136">
        <f t="shared" si="47"/>
        <v>-30.166311233919622</v>
      </c>
      <c r="K84" s="136">
        <f t="shared" si="47"/>
        <v>-31.17168311325581</v>
      </c>
      <c r="L84" s="136">
        <f t="shared" si="47"/>
        <v>-32.217269867765438</v>
      </c>
      <c r="M84" s="136">
        <f t="shared" si="47"/>
        <v>-28.272665841940384</v>
      </c>
      <c r="N84" s="136">
        <f t="shared" si="47"/>
        <v>-29.403572475617995</v>
      </c>
      <c r="O84" s="136">
        <f t="shared" si="47"/>
        <v>-30.579715374642724</v>
      </c>
      <c r="P84" s="136">
        <f t="shared" si="47"/>
        <v>-31.802903989628433</v>
      </c>
      <c r="Q84" s="136">
        <f t="shared" si="47"/>
        <v>-33.075020149213572</v>
      </c>
      <c r="R84" s="136">
        <f t="shared" si="47"/>
        <v>-34.398020955182112</v>
      </c>
      <c r="S84" s="136">
        <f t="shared" si="47"/>
        <v>-35.773941793389405</v>
      </c>
      <c r="T84" s="136">
        <f t="shared" si="47"/>
        <v>-37.204899465124981</v>
      </c>
      <c r="U84" s="136">
        <f t="shared" si="47"/>
        <v>-38.69309544372998</v>
      </c>
      <c r="V84" s="136">
        <f t="shared" si="47"/>
        <v>-40.240819261479182</v>
      </c>
      <c r="W84" s="136">
        <f t="shared" si="47"/>
        <v>-41.850452031938346</v>
      </c>
      <c r="X84" s="136">
        <f t="shared" si="47"/>
        <v>-43.524470113215891</v>
      </c>
      <c r="Y84" s="136">
        <f t="shared" si="47"/>
        <v>-45.265448917744529</v>
      </c>
      <c r="Z84" s="136">
        <f t="shared" si="47"/>
        <v>-47.076066874454305</v>
      </c>
      <c r="AA84" s="136">
        <f t="shared" si="47"/>
        <v>-48.959109549432483</v>
      </c>
      <c r="AB84" s="136">
        <f t="shared" si="47"/>
        <v>-50.917473931409788</v>
      </c>
      <c r="AC84" s="136">
        <f t="shared" si="47"/>
        <v>-52.954172888666179</v>
      </c>
      <c r="AD84" s="136">
        <f t="shared" si="47"/>
        <v>-55.072339804212824</v>
      </c>
      <c r="AE84" s="136">
        <f t="shared" si="47"/>
        <v>-57.275233396381353</v>
      </c>
      <c r="AF84" s="137">
        <f t="shared" si="47"/>
        <v>-59.566242732236603</v>
      </c>
    </row>
    <row r="85" spans="2:32">
      <c r="B85" s="27" t="s">
        <v>422</v>
      </c>
      <c r="C85" s="136">
        <f>G56</f>
        <v>0</v>
      </c>
      <c r="D85" s="136">
        <f>$G$56*(1+$E$61/100)^(D68-$C$68)</f>
        <v>0</v>
      </c>
      <c r="E85" s="136">
        <f>$G$56*(1+$E$61/100)^(E68-$C$68)</f>
        <v>0</v>
      </c>
      <c r="F85" s="136">
        <f t="shared" ref="F85:AF85" si="48">$G$56*(1+$E$61/100)^(F68-$C$68)</f>
        <v>0</v>
      </c>
      <c r="G85" s="136">
        <f t="shared" si="48"/>
        <v>0</v>
      </c>
      <c r="H85" s="136">
        <f t="shared" si="48"/>
        <v>0</v>
      </c>
      <c r="I85" s="136">
        <f t="shared" si="48"/>
        <v>0</v>
      </c>
      <c r="J85" s="136">
        <f t="shared" si="48"/>
        <v>0</v>
      </c>
      <c r="K85" s="136">
        <f t="shared" si="48"/>
        <v>0</v>
      </c>
      <c r="L85" s="136">
        <f t="shared" si="48"/>
        <v>0</v>
      </c>
      <c r="M85" s="136">
        <f t="shared" si="48"/>
        <v>0</v>
      </c>
      <c r="N85" s="136">
        <f t="shared" si="48"/>
        <v>0</v>
      </c>
      <c r="O85" s="136">
        <f t="shared" si="48"/>
        <v>0</v>
      </c>
      <c r="P85" s="136">
        <f t="shared" si="48"/>
        <v>0</v>
      </c>
      <c r="Q85" s="136">
        <f t="shared" si="48"/>
        <v>0</v>
      </c>
      <c r="R85" s="136">
        <f t="shared" si="48"/>
        <v>0</v>
      </c>
      <c r="S85" s="136">
        <f t="shared" si="48"/>
        <v>0</v>
      </c>
      <c r="T85" s="136">
        <f t="shared" si="48"/>
        <v>0</v>
      </c>
      <c r="U85" s="136">
        <f t="shared" si="48"/>
        <v>0</v>
      </c>
      <c r="V85" s="136">
        <f t="shared" si="48"/>
        <v>0</v>
      </c>
      <c r="W85" s="136">
        <f t="shared" si="48"/>
        <v>0</v>
      </c>
      <c r="X85" s="136">
        <f t="shared" si="48"/>
        <v>0</v>
      </c>
      <c r="Y85" s="136">
        <f t="shared" si="48"/>
        <v>0</v>
      </c>
      <c r="Z85" s="136">
        <f t="shared" si="48"/>
        <v>0</v>
      </c>
      <c r="AA85" s="136">
        <f t="shared" si="48"/>
        <v>0</v>
      </c>
      <c r="AB85" s="136">
        <f t="shared" si="48"/>
        <v>0</v>
      </c>
      <c r="AC85" s="136">
        <f t="shared" si="48"/>
        <v>0</v>
      </c>
      <c r="AD85" s="136">
        <f t="shared" si="48"/>
        <v>0</v>
      </c>
      <c r="AE85" s="136">
        <f t="shared" si="48"/>
        <v>0</v>
      </c>
      <c r="AF85" s="136">
        <f t="shared" si="48"/>
        <v>0</v>
      </c>
    </row>
    <row r="86" spans="2:32">
      <c r="B86" s="27" t="s">
        <v>442</v>
      </c>
      <c r="C86" s="136">
        <f>G63</f>
        <v>25.010346392000002</v>
      </c>
      <c r="D86" s="136">
        <f>$C$86*(1+$E$61/100)^(D68-$C$68)</f>
        <v>25.760656783760002</v>
      </c>
      <c r="E86" s="136">
        <f>$C$86*(1+$E$61/100)^(E68-$C$68)</f>
        <v>26.5334764872728</v>
      </c>
      <c r="F86" s="136">
        <f t="shared" ref="F86:AF86" si="49">$C$86*(1+$E$61/100)^(F68-$C$68)</f>
        <v>27.329480781890986</v>
      </c>
      <c r="G86" s="136">
        <f t="shared" si="49"/>
        <v>28.149365205347713</v>
      </c>
      <c r="H86" s="136">
        <f t="shared" si="49"/>
        <v>28.993846161508145</v>
      </c>
      <c r="I86" s="136">
        <f t="shared" si="49"/>
        <v>29.863661546353391</v>
      </c>
      <c r="J86" s="136">
        <f t="shared" si="49"/>
        <v>30.759571392743993</v>
      </c>
      <c r="K86" s="136">
        <f t="shared" si="49"/>
        <v>31.682358534526308</v>
      </c>
      <c r="L86" s="136">
        <f t="shared" si="49"/>
        <v>32.6328292905621</v>
      </c>
      <c r="M86" s="136">
        <f t="shared" si="49"/>
        <v>33.611814169278965</v>
      </c>
      <c r="N86" s="136">
        <f t="shared" si="49"/>
        <v>34.620168594357331</v>
      </c>
      <c r="O86" s="136">
        <f t="shared" si="49"/>
        <v>35.658773652188046</v>
      </c>
      <c r="P86" s="136">
        <f t="shared" si="49"/>
        <v>36.728536861753689</v>
      </c>
      <c r="Q86" s="136">
        <f t="shared" si="49"/>
        <v>37.830392967606301</v>
      </c>
      <c r="R86" s="136">
        <f t="shared" si="49"/>
        <v>38.965304756634495</v>
      </c>
      <c r="S86" s="136">
        <f t="shared" si="49"/>
        <v>40.134263899333519</v>
      </c>
      <c r="T86" s="136">
        <f t="shared" si="49"/>
        <v>41.338291816313529</v>
      </c>
      <c r="U86" s="136">
        <f t="shared" si="49"/>
        <v>42.578440570802933</v>
      </c>
      <c r="V86" s="136">
        <f t="shared" si="49"/>
        <v>43.85579378792702</v>
      </c>
      <c r="W86" s="136">
        <f t="shared" si="49"/>
        <v>45.171467601564828</v>
      </c>
      <c r="X86" s="136">
        <f t="shared" si="49"/>
        <v>46.526611629611772</v>
      </c>
      <c r="Y86" s="136">
        <f t="shared" si="49"/>
        <v>47.922409978500127</v>
      </c>
      <c r="Z86" s="136">
        <f t="shared" si="49"/>
        <v>49.360082277855135</v>
      </c>
      <c r="AA86" s="136">
        <f t="shared" si="49"/>
        <v>50.840884746190781</v>
      </c>
      <c r="AB86" s="136">
        <f t="shared" si="49"/>
        <v>52.366111288576505</v>
      </c>
      <c r="AC86" s="136">
        <f t="shared" si="49"/>
        <v>53.937094627233805</v>
      </c>
      <c r="AD86" s="136">
        <f t="shared" si="49"/>
        <v>55.55520746605081</v>
      </c>
      <c r="AE86" s="136">
        <f t="shared" si="49"/>
        <v>57.221863690032336</v>
      </c>
      <c r="AF86" s="136">
        <f t="shared" si="49"/>
        <v>58.938519600733301</v>
      </c>
    </row>
    <row r="87" spans="2:32">
      <c r="B87" s="97" t="s">
        <v>430</v>
      </c>
      <c r="C87" s="136">
        <f>C84+C85+C86</f>
        <v>0.878332141484929</v>
      </c>
      <c r="D87" s="136">
        <f>D84+D85+D86</f>
        <v>0.86464253324492901</v>
      </c>
      <c r="E87" s="136">
        <f t="shared" ref="E87:AF87" si="50">E84+E85+E86</f>
        <v>0.84290223675772324</v>
      </c>
      <c r="F87" s="136">
        <f t="shared" si="50"/>
        <v>0.8125641313759111</v>
      </c>
      <c r="G87" s="136">
        <f t="shared" si="50"/>
        <v>0.77305245883263396</v>
      </c>
      <c r="H87" s="136">
        <f t="shared" si="50"/>
        <v>0.72376147515306499</v>
      </c>
      <c r="I87" s="136">
        <f t="shared" si="50"/>
        <v>0.66405404256471101</v>
      </c>
      <c r="J87" s="136">
        <f t="shared" si="50"/>
        <v>0.59326015882437133</v>
      </c>
      <c r="K87" s="136">
        <f t="shared" si="50"/>
        <v>0.51067542127049848</v>
      </c>
      <c r="L87" s="136">
        <f t="shared" si="50"/>
        <v>0.41555942279666169</v>
      </c>
      <c r="M87" s="136">
        <f t="shared" si="50"/>
        <v>5.3391483273385809</v>
      </c>
      <c r="N87" s="136">
        <f t="shared" si="50"/>
        <v>5.2165961187393357</v>
      </c>
      <c r="O87" s="136">
        <f t="shared" si="50"/>
        <v>5.0790582775453217</v>
      </c>
      <c r="P87" s="136">
        <f t="shared" si="50"/>
        <v>4.9256328721252558</v>
      </c>
      <c r="Q87" s="136">
        <f t="shared" si="50"/>
        <v>4.7553728183927291</v>
      </c>
      <c r="R87" s="136">
        <f t="shared" si="50"/>
        <v>4.5672838014523833</v>
      </c>
      <c r="S87" s="136">
        <f t="shared" si="50"/>
        <v>4.360322105944114</v>
      </c>
      <c r="T87" s="136">
        <f t="shared" si="50"/>
        <v>4.1333923511885473</v>
      </c>
      <c r="U87" s="136">
        <f t="shared" si="50"/>
        <v>3.8853451270729522</v>
      </c>
      <c r="V87" s="136">
        <f t="shared" si="50"/>
        <v>3.6149745264478383</v>
      </c>
      <c r="W87" s="136">
        <f t="shared" si="50"/>
        <v>3.321015569626482</v>
      </c>
      <c r="X87" s="136">
        <f t="shared" si="50"/>
        <v>3.0021415163958807</v>
      </c>
      <c r="Y87" s="136">
        <f t="shared" si="50"/>
        <v>2.6569610607555987</v>
      </c>
      <c r="Z87" s="136">
        <f t="shared" si="50"/>
        <v>2.2840154034008293</v>
      </c>
      <c r="AA87" s="136">
        <f t="shared" si="50"/>
        <v>1.8817751967582979</v>
      </c>
      <c r="AB87" s="136">
        <f t="shared" si="50"/>
        <v>1.4486373571667173</v>
      </c>
      <c r="AC87" s="136">
        <f t="shared" si="50"/>
        <v>0.98292173856762588</v>
      </c>
      <c r="AD87" s="136">
        <f t="shared" si="50"/>
        <v>0.48286766183798591</v>
      </c>
      <c r="AE87" s="136">
        <f t="shared" si="50"/>
        <v>-5.336970634901661E-2</v>
      </c>
      <c r="AF87" s="137">
        <f t="shared" si="50"/>
        <v>-0.62772313150330206</v>
      </c>
    </row>
    <row r="88" spans="2:32">
      <c r="B88" s="27" t="s">
        <v>431</v>
      </c>
      <c r="C88" s="136">
        <f>C87-E56</f>
        <v>-30.71666785851507</v>
      </c>
      <c r="D88" s="136">
        <f>D87</f>
        <v>0.86464253324492901</v>
      </c>
      <c r="E88" s="136">
        <f>E87</f>
        <v>0.84290223675772324</v>
      </c>
      <c r="F88" s="136">
        <f t="shared" ref="F88:AF88" si="51">F87</f>
        <v>0.8125641313759111</v>
      </c>
      <c r="G88" s="136">
        <f t="shared" si="51"/>
        <v>0.77305245883263396</v>
      </c>
      <c r="H88" s="136">
        <f t="shared" si="51"/>
        <v>0.72376147515306499</v>
      </c>
      <c r="I88" s="136">
        <f t="shared" si="51"/>
        <v>0.66405404256471101</v>
      </c>
      <c r="J88" s="136">
        <f t="shared" si="51"/>
        <v>0.59326015882437133</v>
      </c>
      <c r="K88" s="136">
        <f t="shared" si="51"/>
        <v>0.51067542127049848</v>
      </c>
      <c r="L88" s="136">
        <f t="shared" si="51"/>
        <v>0.41555942279666169</v>
      </c>
      <c r="M88" s="136">
        <f t="shared" si="51"/>
        <v>5.3391483273385809</v>
      </c>
      <c r="N88" s="136">
        <f t="shared" si="51"/>
        <v>5.2165961187393357</v>
      </c>
      <c r="O88" s="136">
        <f t="shared" si="51"/>
        <v>5.0790582775453217</v>
      </c>
      <c r="P88" s="136">
        <f t="shared" si="51"/>
        <v>4.9256328721252558</v>
      </c>
      <c r="Q88" s="136">
        <f t="shared" si="51"/>
        <v>4.7553728183927291</v>
      </c>
      <c r="R88" s="136">
        <f t="shared" si="51"/>
        <v>4.5672838014523833</v>
      </c>
      <c r="S88" s="136">
        <f t="shared" si="51"/>
        <v>4.360322105944114</v>
      </c>
      <c r="T88" s="136">
        <f t="shared" si="51"/>
        <v>4.1333923511885473</v>
      </c>
      <c r="U88" s="136">
        <f t="shared" si="51"/>
        <v>3.8853451270729522</v>
      </c>
      <c r="V88" s="136">
        <f t="shared" si="51"/>
        <v>3.6149745264478383</v>
      </c>
      <c r="W88" s="136">
        <f t="shared" si="51"/>
        <v>3.321015569626482</v>
      </c>
      <c r="X88" s="136">
        <f t="shared" si="51"/>
        <v>3.0021415163958807</v>
      </c>
      <c r="Y88" s="136">
        <f t="shared" si="51"/>
        <v>2.6569610607555987</v>
      </c>
      <c r="Z88" s="136">
        <f t="shared" si="51"/>
        <v>2.2840154034008293</v>
      </c>
      <c r="AA88" s="136">
        <f t="shared" si="51"/>
        <v>1.8817751967582979</v>
      </c>
      <c r="AB88" s="136">
        <f t="shared" si="51"/>
        <v>1.4486373571667173</v>
      </c>
      <c r="AC88" s="136">
        <f t="shared" si="51"/>
        <v>0.98292173856762588</v>
      </c>
      <c r="AD88" s="136">
        <f t="shared" si="51"/>
        <v>0.48286766183798591</v>
      </c>
      <c r="AE88" s="136">
        <f t="shared" si="51"/>
        <v>-5.336970634901661E-2</v>
      </c>
      <c r="AF88" s="137">
        <f t="shared" si="51"/>
        <v>-0.62772313150330206</v>
      </c>
    </row>
    <row r="89" spans="2:32">
      <c r="B89" s="27" t="s">
        <v>432</v>
      </c>
      <c r="C89" s="136">
        <f>C88</f>
        <v>-30.71666785851507</v>
      </c>
      <c r="D89" s="136">
        <f>D88/(1+$E$57/100)^(D68-$C$68)</f>
        <v>0.75186307238689487</v>
      </c>
      <c r="E89" s="136">
        <f>E88/(1+$E$57/100)^(E68-$C$68)</f>
        <v>0.637355188474649</v>
      </c>
      <c r="F89" s="136">
        <f t="shared" ref="F89:AF89" si="52">F88/(1+$E$57/100)^(F68-$C$68)</f>
        <v>0.53427410627166028</v>
      </c>
      <c r="G89" s="136">
        <f t="shared" si="52"/>
        <v>0.44199525235123327</v>
      </c>
      <c r="H89" s="136">
        <f t="shared" si="52"/>
        <v>0.35983736735127519</v>
      </c>
      <c r="I89" s="136">
        <f t="shared" si="52"/>
        <v>0.28708888777735192</v>
      </c>
      <c r="J89" s="136">
        <f t="shared" si="52"/>
        <v>0.22302846801273798</v>
      </c>
      <c r="K89" s="136">
        <f t="shared" si="52"/>
        <v>0.16694070107296483</v>
      </c>
      <c r="L89" s="136">
        <f t="shared" si="52"/>
        <v>0.11812792387018978</v>
      </c>
      <c r="M89" s="136">
        <f t="shared" si="52"/>
        <v>1.3197558102342388</v>
      </c>
      <c r="N89" s="136">
        <f t="shared" si="52"/>
        <v>1.1212719813626513</v>
      </c>
      <c r="O89" s="136">
        <f t="shared" si="52"/>
        <v>0.94931230828799307</v>
      </c>
      <c r="P89" s="136">
        <f t="shared" si="52"/>
        <v>0.80055304608234312</v>
      </c>
      <c r="Q89" s="136">
        <f t="shared" si="52"/>
        <v>0.67207045864719805</v>
      </c>
      <c r="R89" s="136">
        <f t="shared" si="52"/>
        <v>0.561293991566163</v>
      </c>
      <c r="S89" s="136">
        <f t="shared" si="52"/>
        <v>0.4659648178603919</v>
      </c>
      <c r="T89" s="136">
        <f t="shared" si="52"/>
        <v>0.38409914945254603</v>
      </c>
      <c r="U89" s="136">
        <f t="shared" si="52"/>
        <v>0.31395577495632015</v>
      </c>
      <c r="V89" s="136">
        <f t="shared" si="52"/>
        <v>0.25400734471830066</v>
      </c>
      <c r="W89" s="136">
        <f t="shared" si="52"/>
        <v>0.20291497767009822</v>
      </c>
      <c r="X89" s="136">
        <f t="shared" si="52"/>
        <v>0.15950581223548146</v>
      </c>
      <c r="Y89" s="136">
        <f t="shared" si="52"/>
        <v>0.12275316593297181</v>
      </c>
      <c r="Z89" s="136">
        <f t="shared" si="52"/>
        <v>9.1759006001355045E-2</v>
      </c>
      <c r="AA89" s="136">
        <f t="shared" si="52"/>
        <v>6.5738466872457671E-2</v>
      </c>
      <c r="AB89" s="136">
        <f t="shared" si="52"/>
        <v>4.4006180084109135E-2</v>
      </c>
      <c r="AC89" s="136">
        <f t="shared" si="52"/>
        <v>2.5964208677841563E-2</v>
      </c>
      <c r="AD89" s="136">
        <f t="shared" si="52"/>
        <v>1.1091401626845953E-2</v>
      </c>
      <c r="AE89" s="136">
        <f t="shared" si="52"/>
        <v>-1.0659952839298826E-3</v>
      </c>
      <c r="AF89" s="136">
        <f t="shared" si="52"/>
        <v>-1.0902617161491249E-2</v>
      </c>
    </row>
    <row r="90" spans="2:32" ht="15.75" thickBot="1">
      <c r="B90" s="97" t="s">
        <v>433</v>
      </c>
      <c r="C90" s="136">
        <f>C89</f>
        <v>-30.71666785851507</v>
      </c>
      <c r="D90" s="136">
        <f>C90+D89</f>
        <v>-29.964804786128177</v>
      </c>
      <c r="E90" s="136">
        <f>D90+E89</f>
        <v>-29.327449597653526</v>
      </c>
      <c r="F90" s="136">
        <f t="shared" ref="F90:AF90" si="53">E90+F89</f>
        <v>-28.793175491381866</v>
      </c>
      <c r="G90" s="136">
        <f t="shared" si="53"/>
        <v>-28.351180239030633</v>
      </c>
      <c r="H90" s="136">
        <f t="shared" si="53"/>
        <v>-27.991342871679358</v>
      </c>
      <c r="I90" s="136">
        <f t="shared" si="53"/>
        <v>-27.704253983902007</v>
      </c>
      <c r="J90" s="136">
        <f t="shared" si="53"/>
        <v>-27.481225515889268</v>
      </c>
      <c r="K90" s="136">
        <f t="shared" si="53"/>
        <v>-27.314284814816304</v>
      </c>
      <c r="L90" s="136">
        <f>K90+L89</f>
        <v>-27.196156890946114</v>
      </c>
      <c r="M90" s="136">
        <f t="shared" si="53"/>
        <v>-25.876401080711876</v>
      </c>
      <c r="N90" s="136">
        <f t="shared" si="53"/>
        <v>-24.755129099349226</v>
      </c>
      <c r="O90" s="136">
        <f t="shared" si="53"/>
        <v>-23.805816791061233</v>
      </c>
      <c r="P90" s="136">
        <f t="shared" si="53"/>
        <v>-23.00526374497889</v>
      </c>
      <c r="Q90" s="136">
        <f t="shared" si="53"/>
        <v>-22.333193286331692</v>
      </c>
      <c r="R90" s="136">
        <f t="shared" si="53"/>
        <v>-21.771899294765529</v>
      </c>
      <c r="S90" s="136">
        <f t="shared" si="53"/>
        <v>-21.305934476905136</v>
      </c>
      <c r="T90" s="136">
        <f t="shared" si="53"/>
        <v>-20.921835327452591</v>
      </c>
      <c r="U90" s="136">
        <f t="shared" si="53"/>
        <v>-20.607879552496271</v>
      </c>
      <c r="V90" s="136">
        <f t="shared" si="53"/>
        <v>-20.353872207777972</v>
      </c>
      <c r="W90" s="136">
        <f t="shared" si="53"/>
        <v>-20.150957230107874</v>
      </c>
      <c r="X90" s="136">
        <f t="shared" si="53"/>
        <v>-19.991451417872394</v>
      </c>
      <c r="Y90" s="136">
        <f t="shared" si="53"/>
        <v>-19.868698251939421</v>
      </c>
      <c r="Z90" s="136">
        <f t="shared" si="53"/>
        <v>-19.776939245938067</v>
      </c>
      <c r="AA90" s="136">
        <f t="shared" si="53"/>
        <v>-19.71120077906561</v>
      </c>
      <c r="AB90" s="136">
        <f t="shared" si="53"/>
        <v>-19.667194598981499</v>
      </c>
      <c r="AC90" s="136">
        <f t="shared" si="53"/>
        <v>-19.641230390303658</v>
      </c>
      <c r="AD90" s="136">
        <f t="shared" si="53"/>
        <v>-19.630138988676812</v>
      </c>
      <c r="AE90" s="136">
        <f t="shared" si="53"/>
        <v>-19.631204983960743</v>
      </c>
      <c r="AF90" s="137">
        <f t="shared" si="53"/>
        <v>-19.642107601122234</v>
      </c>
    </row>
    <row r="91" spans="2:32">
      <c r="B91" s="131" t="s">
        <v>430</v>
      </c>
      <c r="C91" s="141">
        <f>C84+C86</f>
        <v>0.878332141484929</v>
      </c>
      <c r="D91" s="141">
        <f t="shared" ref="D91:AF91" si="54">D84+D86</f>
        <v>0.86464253324492901</v>
      </c>
      <c r="E91" s="141">
        <f t="shared" si="54"/>
        <v>0.84290223675772324</v>
      </c>
      <c r="F91" s="141">
        <f t="shared" si="54"/>
        <v>0.8125641313759111</v>
      </c>
      <c r="G91" s="141">
        <f t="shared" si="54"/>
        <v>0.77305245883263396</v>
      </c>
      <c r="H91" s="141">
        <f t="shared" si="54"/>
        <v>0.72376147515306499</v>
      </c>
      <c r="I91" s="141">
        <f t="shared" si="54"/>
        <v>0.66405404256471101</v>
      </c>
      <c r="J91" s="141">
        <f t="shared" si="54"/>
        <v>0.59326015882437133</v>
      </c>
      <c r="K91" s="141">
        <f t="shared" si="54"/>
        <v>0.51067542127049848</v>
      </c>
      <c r="L91" s="141">
        <f t="shared" si="54"/>
        <v>0.41555942279666169</v>
      </c>
      <c r="M91" s="141">
        <f t="shared" si="54"/>
        <v>5.3391483273385809</v>
      </c>
      <c r="N91" s="141">
        <f t="shared" si="54"/>
        <v>5.2165961187393357</v>
      </c>
      <c r="O91" s="141">
        <f t="shared" si="54"/>
        <v>5.0790582775453217</v>
      </c>
      <c r="P91" s="141">
        <f t="shared" si="54"/>
        <v>4.9256328721252558</v>
      </c>
      <c r="Q91" s="141">
        <f t="shared" si="54"/>
        <v>4.7553728183927291</v>
      </c>
      <c r="R91" s="141">
        <f t="shared" si="54"/>
        <v>4.5672838014523833</v>
      </c>
      <c r="S91" s="141">
        <f t="shared" si="54"/>
        <v>4.360322105944114</v>
      </c>
      <c r="T91" s="141">
        <f t="shared" si="54"/>
        <v>4.1333923511885473</v>
      </c>
      <c r="U91" s="141">
        <f t="shared" si="54"/>
        <v>3.8853451270729522</v>
      </c>
      <c r="V91" s="141">
        <f t="shared" si="54"/>
        <v>3.6149745264478383</v>
      </c>
      <c r="W91" s="141">
        <f t="shared" si="54"/>
        <v>3.321015569626482</v>
      </c>
      <c r="X91" s="141">
        <f t="shared" si="54"/>
        <v>3.0021415163958807</v>
      </c>
      <c r="Y91" s="141">
        <f t="shared" si="54"/>
        <v>2.6569610607555987</v>
      </c>
      <c r="Z91" s="141">
        <f t="shared" si="54"/>
        <v>2.2840154034008293</v>
      </c>
      <c r="AA91" s="141">
        <f t="shared" si="54"/>
        <v>1.8817751967582979</v>
      </c>
      <c r="AB91" s="141">
        <f t="shared" si="54"/>
        <v>1.4486373571667173</v>
      </c>
      <c r="AC91" s="141">
        <f t="shared" si="54"/>
        <v>0.98292173856762588</v>
      </c>
      <c r="AD91" s="141">
        <f t="shared" si="54"/>
        <v>0.48286766183798591</v>
      </c>
      <c r="AE91" s="141">
        <f t="shared" si="54"/>
        <v>-5.336970634901661E-2</v>
      </c>
      <c r="AF91" s="142">
        <f t="shared" si="54"/>
        <v>-0.62772313150330206</v>
      </c>
    </row>
    <row r="92" spans="2:32">
      <c r="B92" s="27" t="s">
        <v>431</v>
      </c>
      <c r="C92" s="136">
        <f>C91-E56</f>
        <v>-30.71666785851507</v>
      </c>
      <c r="D92" s="136">
        <f>D91</f>
        <v>0.86464253324492901</v>
      </c>
      <c r="E92" s="136">
        <f t="shared" ref="E92:AF92" si="55">E91</f>
        <v>0.84290223675772324</v>
      </c>
      <c r="F92" s="136">
        <f t="shared" si="55"/>
        <v>0.8125641313759111</v>
      </c>
      <c r="G92" s="136">
        <f t="shared" si="55"/>
        <v>0.77305245883263396</v>
      </c>
      <c r="H92" s="136">
        <f t="shared" si="55"/>
        <v>0.72376147515306499</v>
      </c>
      <c r="I92" s="136">
        <f t="shared" si="55"/>
        <v>0.66405404256471101</v>
      </c>
      <c r="J92" s="136">
        <f t="shared" si="55"/>
        <v>0.59326015882437133</v>
      </c>
      <c r="K92" s="136">
        <f t="shared" si="55"/>
        <v>0.51067542127049848</v>
      </c>
      <c r="L92" s="136">
        <f t="shared" si="55"/>
        <v>0.41555942279666169</v>
      </c>
      <c r="M92" s="136">
        <f t="shared" si="55"/>
        <v>5.3391483273385809</v>
      </c>
      <c r="N92" s="136">
        <f t="shared" si="55"/>
        <v>5.2165961187393357</v>
      </c>
      <c r="O92" s="136">
        <f t="shared" si="55"/>
        <v>5.0790582775453217</v>
      </c>
      <c r="P92" s="136">
        <f t="shared" si="55"/>
        <v>4.9256328721252558</v>
      </c>
      <c r="Q92" s="136">
        <f t="shared" si="55"/>
        <v>4.7553728183927291</v>
      </c>
      <c r="R92" s="136">
        <f t="shared" si="55"/>
        <v>4.5672838014523833</v>
      </c>
      <c r="S92" s="136">
        <f t="shared" si="55"/>
        <v>4.360322105944114</v>
      </c>
      <c r="T92" s="136">
        <f t="shared" si="55"/>
        <v>4.1333923511885473</v>
      </c>
      <c r="U92" s="136">
        <f t="shared" si="55"/>
        <v>3.8853451270729522</v>
      </c>
      <c r="V92" s="136">
        <f t="shared" si="55"/>
        <v>3.6149745264478383</v>
      </c>
      <c r="W92" s="136">
        <f t="shared" si="55"/>
        <v>3.321015569626482</v>
      </c>
      <c r="X92" s="136">
        <f t="shared" si="55"/>
        <v>3.0021415163958807</v>
      </c>
      <c r="Y92" s="136">
        <f t="shared" si="55"/>
        <v>2.6569610607555987</v>
      </c>
      <c r="Z92" s="136">
        <f t="shared" si="55"/>
        <v>2.2840154034008293</v>
      </c>
      <c r="AA92" s="136">
        <f t="shared" si="55"/>
        <v>1.8817751967582979</v>
      </c>
      <c r="AB92" s="136">
        <f t="shared" si="55"/>
        <v>1.4486373571667173</v>
      </c>
      <c r="AC92" s="136">
        <f t="shared" si="55"/>
        <v>0.98292173856762588</v>
      </c>
      <c r="AD92" s="136">
        <f t="shared" si="55"/>
        <v>0.48286766183798591</v>
      </c>
      <c r="AE92" s="136">
        <f t="shared" si="55"/>
        <v>-5.336970634901661E-2</v>
      </c>
      <c r="AF92" s="137">
        <f t="shared" si="55"/>
        <v>-0.62772313150330206</v>
      </c>
    </row>
    <row r="93" spans="2:32">
      <c r="B93" s="27" t="s">
        <v>432</v>
      </c>
      <c r="C93" s="136">
        <f>C92</f>
        <v>-30.71666785851507</v>
      </c>
      <c r="D93" s="136">
        <f>D92/(1+$E$57/100)^(D68-$C$68)</f>
        <v>0.75186307238689487</v>
      </c>
      <c r="E93" s="136">
        <f t="shared" ref="E93:AF93" si="56">E92/(1+$E$57/100)^(E68-$C$68)</f>
        <v>0.637355188474649</v>
      </c>
      <c r="F93" s="136">
        <f t="shared" si="56"/>
        <v>0.53427410627166028</v>
      </c>
      <c r="G93" s="136">
        <f t="shared" si="56"/>
        <v>0.44199525235123327</v>
      </c>
      <c r="H93" s="136">
        <f t="shared" si="56"/>
        <v>0.35983736735127519</v>
      </c>
      <c r="I93" s="136">
        <f t="shared" si="56"/>
        <v>0.28708888777735192</v>
      </c>
      <c r="J93" s="136">
        <f t="shared" si="56"/>
        <v>0.22302846801273798</v>
      </c>
      <c r="K93" s="136">
        <f t="shared" si="56"/>
        <v>0.16694070107296483</v>
      </c>
      <c r="L93" s="136">
        <f t="shared" si="56"/>
        <v>0.11812792387018978</v>
      </c>
      <c r="M93" s="136">
        <f t="shared" si="56"/>
        <v>1.3197558102342388</v>
      </c>
      <c r="N93" s="136">
        <f t="shared" si="56"/>
        <v>1.1212719813626513</v>
      </c>
      <c r="O93" s="136">
        <f t="shared" si="56"/>
        <v>0.94931230828799307</v>
      </c>
      <c r="P93" s="136">
        <f t="shared" si="56"/>
        <v>0.80055304608234312</v>
      </c>
      <c r="Q93" s="136">
        <f t="shared" si="56"/>
        <v>0.67207045864719805</v>
      </c>
      <c r="R93" s="136">
        <f t="shared" si="56"/>
        <v>0.561293991566163</v>
      </c>
      <c r="S93" s="136">
        <f t="shared" si="56"/>
        <v>0.4659648178603919</v>
      </c>
      <c r="T93" s="136">
        <f t="shared" si="56"/>
        <v>0.38409914945254603</v>
      </c>
      <c r="U93" s="136">
        <f t="shared" si="56"/>
        <v>0.31395577495632015</v>
      </c>
      <c r="V93" s="136">
        <f t="shared" si="56"/>
        <v>0.25400734471830066</v>
      </c>
      <c r="W93" s="136">
        <f t="shared" si="56"/>
        <v>0.20291497767009822</v>
      </c>
      <c r="X93" s="136">
        <f t="shared" si="56"/>
        <v>0.15950581223548146</v>
      </c>
      <c r="Y93" s="136">
        <f t="shared" si="56"/>
        <v>0.12275316593297181</v>
      </c>
      <c r="Z93" s="136">
        <f t="shared" si="56"/>
        <v>9.1759006001355045E-2</v>
      </c>
      <c r="AA93" s="136">
        <f t="shared" si="56"/>
        <v>6.5738466872457671E-2</v>
      </c>
      <c r="AB93" s="136">
        <f t="shared" si="56"/>
        <v>4.4006180084109135E-2</v>
      </c>
      <c r="AC93" s="136">
        <f t="shared" si="56"/>
        <v>2.5964208677841563E-2</v>
      </c>
      <c r="AD93" s="136">
        <f t="shared" si="56"/>
        <v>1.1091401626845953E-2</v>
      </c>
      <c r="AE93" s="136">
        <f t="shared" si="56"/>
        <v>-1.0659952839298826E-3</v>
      </c>
      <c r="AF93" s="136">
        <f t="shared" si="56"/>
        <v>-1.0902617161491249E-2</v>
      </c>
    </row>
    <row r="94" spans="2:32" ht="15.75" thickBot="1">
      <c r="B94" s="140" t="s">
        <v>433</v>
      </c>
      <c r="C94" s="138">
        <f>C93</f>
        <v>-30.71666785851507</v>
      </c>
      <c r="D94" s="138">
        <f>D93+C94</f>
        <v>-29.964804786128177</v>
      </c>
      <c r="E94" s="138">
        <f t="shared" ref="E94:AF94" si="57">E93+D94</f>
        <v>-29.327449597653526</v>
      </c>
      <c r="F94" s="138">
        <f t="shared" si="57"/>
        <v>-28.793175491381866</v>
      </c>
      <c r="G94" s="138">
        <f t="shared" si="57"/>
        <v>-28.351180239030633</v>
      </c>
      <c r="H94" s="138">
        <f t="shared" si="57"/>
        <v>-27.991342871679358</v>
      </c>
      <c r="I94" s="138">
        <f t="shared" si="57"/>
        <v>-27.704253983902007</v>
      </c>
      <c r="J94" s="138">
        <f t="shared" si="57"/>
        <v>-27.481225515889268</v>
      </c>
      <c r="K94" s="138">
        <f t="shared" si="57"/>
        <v>-27.314284814816304</v>
      </c>
      <c r="L94" s="138">
        <f t="shared" si="57"/>
        <v>-27.196156890946114</v>
      </c>
      <c r="M94" s="138">
        <f t="shared" si="57"/>
        <v>-25.876401080711876</v>
      </c>
      <c r="N94" s="138">
        <f t="shared" si="57"/>
        <v>-24.755129099349226</v>
      </c>
      <c r="O94" s="138">
        <f t="shared" si="57"/>
        <v>-23.805816791061233</v>
      </c>
      <c r="P94" s="138">
        <f t="shared" si="57"/>
        <v>-23.00526374497889</v>
      </c>
      <c r="Q94" s="138">
        <f t="shared" si="57"/>
        <v>-22.333193286331692</v>
      </c>
      <c r="R94" s="138">
        <f t="shared" si="57"/>
        <v>-21.771899294765529</v>
      </c>
      <c r="S94" s="138">
        <f t="shared" si="57"/>
        <v>-21.305934476905136</v>
      </c>
      <c r="T94" s="138">
        <f t="shared" si="57"/>
        <v>-20.921835327452591</v>
      </c>
      <c r="U94" s="138">
        <f t="shared" si="57"/>
        <v>-20.607879552496271</v>
      </c>
      <c r="V94" s="138">
        <f t="shared" si="57"/>
        <v>-20.353872207777972</v>
      </c>
      <c r="W94" s="138">
        <f t="shared" si="57"/>
        <v>-20.150957230107874</v>
      </c>
      <c r="X94" s="138">
        <f t="shared" si="57"/>
        <v>-19.991451417872394</v>
      </c>
      <c r="Y94" s="138">
        <f t="shared" si="57"/>
        <v>-19.868698251939421</v>
      </c>
      <c r="Z94" s="138">
        <f t="shared" si="57"/>
        <v>-19.776939245938067</v>
      </c>
      <c r="AA94" s="138">
        <f t="shared" si="57"/>
        <v>-19.71120077906561</v>
      </c>
      <c r="AB94" s="138">
        <f t="shared" si="57"/>
        <v>-19.667194598981499</v>
      </c>
      <c r="AC94" s="138">
        <f t="shared" si="57"/>
        <v>-19.641230390303658</v>
      </c>
      <c r="AD94" s="138">
        <f t="shared" si="57"/>
        <v>-19.630138988676812</v>
      </c>
      <c r="AE94" s="138">
        <f t="shared" si="57"/>
        <v>-19.631204983960743</v>
      </c>
      <c r="AF94" s="139">
        <f t="shared" si="57"/>
        <v>-19.642107601122234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3"/>
  <sheetViews>
    <sheetView workbookViewId="0">
      <selection activeCell="I62" sqref="I62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33">
      <c r="B1" t="s">
        <v>365</v>
      </c>
      <c r="C1" s="150">
        <f>FCI!F44*G8*G9</f>
        <v>168.9242698730329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74"/>
      <c r="N1" s="80"/>
      <c r="O1" s="81" t="s">
        <v>374</v>
      </c>
      <c r="P1" s="81" t="s">
        <v>416</v>
      </c>
      <c r="Q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152.03184288572959</v>
      </c>
      <c r="D2" s="74" t="s">
        <v>436</v>
      </c>
      <c r="E2" s="74">
        <v>90</v>
      </c>
      <c r="F2" t="s">
        <v>417</v>
      </c>
      <c r="G2" s="74">
        <v>39.5</v>
      </c>
      <c r="H2" s="30">
        <v>25.7</v>
      </c>
      <c r="I2" s="30">
        <v>20</v>
      </c>
      <c r="J2" s="30">
        <v>30</v>
      </c>
      <c r="K2" s="30">
        <v>25</v>
      </c>
      <c r="M2" s="74"/>
      <c r="N2" s="83">
        <v>2018</v>
      </c>
      <c r="O2" s="84">
        <f>E3</f>
        <v>84.462134936516449</v>
      </c>
      <c r="P2" s="84">
        <f>O2*$C$5/100</f>
        <v>8.0239028189690629</v>
      </c>
      <c r="Q2" s="85">
        <f>O2+P2-$C$7</f>
        <v>79.042132165725107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84.462134936516449</v>
      </c>
      <c r="F3" t="s">
        <v>418</v>
      </c>
      <c r="G3" s="74">
        <v>13.53</v>
      </c>
      <c r="H3" s="30">
        <v>0</v>
      </c>
      <c r="I3" s="30">
        <v>29.3</v>
      </c>
      <c r="J3" s="30">
        <v>3.7</v>
      </c>
      <c r="K3" s="30">
        <v>0</v>
      </c>
      <c r="M3" s="74"/>
      <c r="N3" s="83" t="s">
        <v>376</v>
      </c>
      <c r="O3" s="84">
        <f>Q2</f>
        <v>79.042132165725107</v>
      </c>
      <c r="P3" s="84">
        <f t="shared" ref="P3:P11" si="0">O3*$C$5/100</f>
        <v>7.5090025557438853</v>
      </c>
      <c r="Q3" s="85">
        <f t="shared" ref="Q3:Q11" si="1">O3+P3-$C$7</f>
        <v>73.107229131708593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84.462134936516449</v>
      </c>
      <c r="F4" t="s">
        <v>422</v>
      </c>
      <c r="G4" s="74">
        <f>G3*G10/1000000</f>
        <v>0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74"/>
      <c r="N4" s="83" t="s">
        <v>377</v>
      </c>
      <c r="O4" s="84">
        <f t="shared" ref="O4:O11" si="2">Q3</f>
        <v>73.107229131708593</v>
      </c>
      <c r="P4" s="84">
        <f t="shared" si="0"/>
        <v>6.9451867675123165</v>
      </c>
      <c r="Q4" s="85">
        <f t="shared" si="1"/>
        <v>66.608510309460499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495.5</v>
      </c>
      <c r="H5" s="30">
        <v>495.5</v>
      </c>
      <c r="I5" s="30">
        <v>474.7</v>
      </c>
      <c r="J5" s="30">
        <v>495.5</v>
      </c>
      <c r="K5" s="30">
        <v>475.42</v>
      </c>
      <c r="M5" s="74"/>
      <c r="N5" s="83" t="s">
        <v>378</v>
      </c>
      <c r="O5" s="84">
        <f t="shared" si="2"/>
        <v>66.608510309460499</v>
      </c>
      <c r="P5" s="84">
        <f t="shared" si="0"/>
        <v>6.3278084793987475</v>
      </c>
      <c r="Q5" s="85">
        <f t="shared" si="1"/>
        <v>59.492413199098834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40</v>
      </c>
      <c r="H6" s="30">
        <v>588</v>
      </c>
      <c r="I6" s="30">
        <v>285</v>
      </c>
      <c r="J6" s="30">
        <v>856</v>
      </c>
      <c r="K6" s="30">
        <v>1064</v>
      </c>
      <c r="M6" s="74"/>
      <c r="N6" s="83" t="s">
        <v>379</v>
      </c>
      <c r="O6" s="84">
        <f t="shared" si="2"/>
        <v>59.492413199098834</v>
      </c>
      <c r="P6" s="84">
        <f t="shared" si="0"/>
        <v>5.6517792539143894</v>
      </c>
      <c r="Q6" s="85">
        <f t="shared" si="1"/>
        <v>51.700286863252813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13.443905589760405</v>
      </c>
      <c r="D7" s="74"/>
      <c r="E7" s="74"/>
      <c r="F7" s="74" t="s">
        <v>429</v>
      </c>
      <c r="G7" s="74">
        <v>89.55</v>
      </c>
      <c r="H7" s="30">
        <v>69.3</v>
      </c>
      <c r="I7" s="30">
        <v>75.37</v>
      </c>
      <c r="J7" s="30">
        <v>75.760000000000005</v>
      </c>
      <c r="K7" s="30">
        <v>79.61</v>
      </c>
      <c r="M7" s="74"/>
      <c r="N7" s="83" t="s">
        <v>380</v>
      </c>
      <c r="O7" s="84">
        <f t="shared" si="2"/>
        <v>51.700286863252813</v>
      </c>
      <c r="P7" s="84">
        <f t="shared" si="0"/>
        <v>4.9115272520090176</v>
      </c>
      <c r="Q7" s="85">
        <f t="shared" si="1"/>
        <v>43.167908525501424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21.71883469796137</v>
      </c>
      <c r="D8" s="74"/>
      <c r="E8" s="74"/>
      <c r="F8" s="74" t="s">
        <v>279</v>
      </c>
      <c r="G8" s="74">
        <v>1.25</v>
      </c>
      <c r="H8" s="30">
        <v>1</v>
      </c>
      <c r="I8" s="30">
        <v>0.88</v>
      </c>
      <c r="J8" s="30">
        <v>9.0399999999999991</v>
      </c>
      <c r="K8" s="30">
        <v>3.54</v>
      </c>
      <c r="M8" s="74"/>
      <c r="N8" s="83" t="s">
        <v>381</v>
      </c>
      <c r="O8" s="84">
        <f t="shared" si="2"/>
        <v>43.167908525501424</v>
      </c>
      <c r="P8" s="84">
        <f t="shared" si="0"/>
        <v>4.1009513099226353</v>
      </c>
      <c r="Q8" s="85">
        <f t="shared" si="1"/>
        <v>33.824954245663655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150">
        <f>'NG utility with WGS'!I1/1000*'NG utility with WGS'!I18*Utilitychosen!G5/1000000</f>
        <v>90.951397784808492</v>
      </c>
      <c r="D9" s="74" t="s">
        <v>398</v>
      </c>
      <c r="E9" s="74">
        <v>3</v>
      </c>
      <c r="F9" s="74" t="s">
        <v>435</v>
      </c>
      <c r="G9" s="74">
        <v>0.77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74"/>
      <c r="N9" s="83" t="s">
        <v>382</v>
      </c>
      <c r="O9" s="84">
        <f t="shared" si="2"/>
        <v>33.824954245663655</v>
      </c>
      <c r="P9" s="84">
        <f t="shared" si="0"/>
        <v>3.2133706533380475</v>
      </c>
      <c r="Q9" s="85">
        <f t="shared" si="1"/>
        <v>23.594419309241296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150">
        <f>'Maintenance &amp; Operations cost'!K30/1000000*G8*G9+0.1155*Utilitychosen!C9+G7*C14/1000/1000000</f>
        <v>68.292446588927902</v>
      </c>
      <c r="D10" s="74" t="s">
        <v>398</v>
      </c>
      <c r="E10" s="74">
        <v>4</v>
      </c>
      <c r="F10" s="74" t="s">
        <v>419</v>
      </c>
      <c r="G10" s="153">
        <f>-NPV_sensitivity!G18*1000</f>
        <v>0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74"/>
      <c r="N10" s="83" t="s">
        <v>383</v>
      </c>
      <c r="O10" s="84">
        <f t="shared" si="2"/>
        <v>23.594419309241296</v>
      </c>
      <c r="P10" s="84">
        <f t="shared" si="0"/>
        <v>2.2414698343779231</v>
      </c>
      <c r="Q10" s="85">
        <f t="shared" si="1"/>
        <v>12.391983553858815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 t="e">
        <f>(0-AF41)*1000000/(G10*E6)</f>
        <v>#DIV/0!</v>
      </c>
      <c r="H11" s="30"/>
      <c r="I11" s="30"/>
      <c r="J11" s="30"/>
      <c r="K11" s="30"/>
      <c r="M11" s="74"/>
      <c r="N11" s="83" t="s">
        <v>384</v>
      </c>
      <c r="O11" s="84">
        <f t="shared" si="2"/>
        <v>12.391983553858815</v>
      </c>
      <c r="P11" s="84">
        <f t="shared" si="0"/>
        <v>1.1772384376165874</v>
      </c>
      <c r="Q11" s="85">
        <f t="shared" si="1"/>
        <v>0.12531640171499703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74"/>
      <c r="N12" s="86"/>
      <c r="O12" s="87"/>
      <c r="P12" s="87"/>
      <c r="Q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-13.443905589760405</v>
      </c>
      <c r="D17" s="84">
        <f>-$C$7</f>
        <v>-13.443905589760405</v>
      </c>
      <c r="E17" s="84">
        <f t="shared" ref="E17:L17" si="4">-$C$7</f>
        <v>-13.443905589760405</v>
      </c>
      <c r="F17" s="84">
        <f t="shared" si="4"/>
        <v>-13.443905589760405</v>
      </c>
      <c r="G17" s="84">
        <f t="shared" si="4"/>
        <v>-13.443905589760405</v>
      </c>
      <c r="H17" s="84">
        <f t="shared" si="4"/>
        <v>-13.443905589760405</v>
      </c>
      <c r="I17" s="84">
        <f t="shared" si="4"/>
        <v>-13.443905589760405</v>
      </c>
      <c r="J17" s="84">
        <f t="shared" si="4"/>
        <v>-13.443905589760405</v>
      </c>
      <c r="K17" s="84">
        <f t="shared" si="4"/>
        <v>-13.443905589760405</v>
      </c>
      <c r="L17" s="84">
        <f t="shared" si="4"/>
        <v>-13.443905589760405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90.951397784808492</v>
      </c>
      <c r="D18" s="84">
        <f>$C$9*(1+$E$9/100)^(D16-$C$16)</f>
        <v>93.679939718352756</v>
      </c>
      <c r="E18" s="84">
        <f t="shared" ref="E18:AF18" si="5">$C$9*(1+$E$9/100)^(E16-$C$16)</f>
        <v>96.490337909903332</v>
      </c>
      <c r="F18" s="84">
        <f t="shared" si="5"/>
        <v>99.385048047200428</v>
      </c>
      <c r="G18" s="84">
        <f t="shared" si="5"/>
        <v>102.36659948861643</v>
      </c>
      <c r="H18" s="84">
        <f t="shared" si="5"/>
        <v>105.43759747327492</v>
      </c>
      <c r="I18" s="84">
        <f t="shared" si="5"/>
        <v>108.60072539747317</v>
      </c>
      <c r="J18" s="84">
        <f t="shared" si="5"/>
        <v>111.85874715939738</v>
      </c>
      <c r="K18" s="84">
        <f t="shared" si="5"/>
        <v>115.21450957417929</v>
      </c>
      <c r="L18" s="84">
        <f t="shared" si="5"/>
        <v>118.67094486140466</v>
      </c>
      <c r="M18" s="84">
        <f t="shared" si="5"/>
        <v>122.23107320724681</v>
      </c>
      <c r="N18" s="84">
        <f t="shared" si="5"/>
        <v>125.89800540346421</v>
      </c>
      <c r="O18" s="84">
        <f t="shared" si="5"/>
        <v>129.67494556556812</v>
      </c>
      <c r="P18" s="84">
        <f t="shared" si="5"/>
        <v>133.56519393253515</v>
      </c>
      <c r="Q18" s="84">
        <f t="shared" si="5"/>
        <v>137.57214975051124</v>
      </c>
      <c r="R18" s="84">
        <f t="shared" si="5"/>
        <v>141.69931424302658</v>
      </c>
      <c r="S18" s="84">
        <f t="shared" si="5"/>
        <v>145.95029367031734</v>
      </c>
      <c r="T18" s="84">
        <f t="shared" si="5"/>
        <v>150.32880248042687</v>
      </c>
      <c r="U18" s="84">
        <f t="shared" si="5"/>
        <v>154.83866655483968</v>
      </c>
      <c r="V18" s="84">
        <f t="shared" si="5"/>
        <v>159.48382655148487</v>
      </c>
      <c r="W18" s="84">
        <f t="shared" si="5"/>
        <v>164.2683413480294</v>
      </c>
      <c r="X18" s="84">
        <f t="shared" si="5"/>
        <v>169.19639158847028</v>
      </c>
      <c r="Y18" s="84">
        <f t="shared" si="5"/>
        <v>174.27228333612439</v>
      </c>
      <c r="Z18" s="84">
        <f t="shared" si="5"/>
        <v>179.50045183620813</v>
      </c>
      <c r="AA18" s="84">
        <f t="shared" si="5"/>
        <v>184.88546539129436</v>
      </c>
      <c r="AB18" s="84">
        <f t="shared" si="5"/>
        <v>190.43202935303319</v>
      </c>
      <c r="AC18" s="84">
        <f t="shared" si="5"/>
        <v>196.14499023362418</v>
      </c>
      <c r="AD18" s="84">
        <f t="shared" si="5"/>
        <v>202.02933994063289</v>
      </c>
      <c r="AE18" s="84">
        <f t="shared" si="5"/>
        <v>208.09022013885189</v>
      </c>
      <c r="AF18" s="85">
        <f t="shared" si="5"/>
        <v>214.33292674301742</v>
      </c>
      <c r="AG18" s="74"/>
    </row>
    <row r="19" spans="2:33">
      <c r="B19" s="96" t="s">
        <v>413</v>
      </c>
      <c r="C19" s="84">
        <f>-C10</f>
        <v>-68.292446588927902</v>
      </c>
      <c r="D19" s="84">
        <f>-$C$10*(1+$E$10/100)^(D16-$C$16)</f>
        <v>-71.024144452485018</v>
      </c>
      <c r="E19" s="84">
        <f t="shared" ref="E19:AF19" si="6">-$C$10*(1+$E$10/100)^(E16-$C$16)</f>
        <v>-73.86511023058442</v>
      </c>
      <c r="F19" s="84">
        <f t="shared" si="6"/>
        <v>-76.819714639807799</v>
      </c>
      <c r="G19" s="84">
        <f t="shared" si="6"/>
        <v>-79.89250322540012</v>
      </c>
      <c r="H19" s="84">
        <f t="shared" si="6"/>
        <v>-83.088203354416137</v>
      </c>
      <c r="I19" s="84">
        <f t="shared" si="6"/>
        <v>-86.411731488592778</v>
      </c>
      <c r="J19" s="84">
        <f t="shared" si="6"/>
        <v>-89.868200748136488</v>
      </c>
      <c r="K19" s="84">
        <f t="shared" si="6"/>
        <v>-93.462928778061965</v>
      </c>
      <c r="L19" s="84">
        <f t="shared" si="6"/>
        <v>-97.201445929184445</v>
      </c>
      <c r="M19" s="84">
        <f t="shared" si="6"/>
        <v>-101.08950376635183</v>
      </c>
      <c r="N19" s="84">
        <f t="shared" si="6"/>
        <v>-105.13308391700589</v>
      </c>
      <c r="O19" s="84">
        <f t="shared" si="6"/>
        <v>-109.33840727368614</v>
      </c>
      <c r="P19" s="84">
        <f t="shared" si="6"/>
        <v>-113.7119435646336</v>
      </c>
      <c r="Q19" s="84">
        <f t="shared" si="6"/>
        <v>-118.26042130721893</v>
      </c>
      <c r="R19" s="84">
        <f t="shared" si="6"/>
        <v>-122.99083815950769</v>
      </c>
      <c r="S19" s="84">
        <f t="shared" si="6"/>
        <v>-127.91047168588803</v>
      </c>
      <c r="T19" s="84">
        <f t="shared" si="6"/>
        <v>-133.02689055332354</v>
      </c>
      <c r="U19" s="84">
        <f t="shared" si="6"/>
        <v>-138.34796617545652</v>
      </c>
      <c r="V19" s="84">
        <f t="shared" si="6"/>
        <v>-143.88188482247477</v>
      </c>
      <c r="W19" s="84">
        <f t="shared" si="6"/>
        <v>-149.63716021537374</v>
      </c>
      <c r="X19" s="84">
        <f t="shared" si="6"/>
        <v>-155.62264662398874</v>
      </c>
      <c r="Y19" s="84">
        <f t="shared" si="6"/>
        <v>-161.84755248894828</v>
      </c>
      <c r="Z19" s="84">
        <f t="shared" si="6"/>
        <v>-168.32145458850619</v>
      </c>
      <c r="AA19" s="84">
        <f t="shared" si="6"/>
        <v>-175.05431277204647</v>
      </c>
      <c r="AB19" s="84">
        <f t="shared" si="6"/>
        <v>-182.05648528292835</v>
      </c>
      <c r="AC19" s="84">
        <f t="shared" si="6"/>
        <v>-189.33874469424546</v>
      </c>
      <c r="AD19" s="84">
        <f t="shared" si="6"/>
        <v>-196.91229448201528</v>
      </c>
      <c r="AE19" s="84">
        <f t="shared" si="6"/>
        <v>-204.78878626129594</v>
      </c>
      <c r="AF19" s="85">
        <f t="shared" si="6"/>
        <v>-212.98033771174781</v>
      </c>
    </row>
    <row r="20" spans="2:33">
      <c r="B20" s="97" t="s">
        <v>415</v>
      </c>
      <c r="C20" s="84">
        <f>SUM(C17:C19)</f>
        <v>9.2150456061201851</v>
      </c>
      <c r="D20" s="84">
        <f t="shared" ref="D20:AF20" si="7">SUM(D17:D19)</f>
        <v>9.211889676107333</v>
      </c>
      <c r="E20" s="84">
        <f t="shared" si="7"/>
        <v>9.1813220895585061</v>
      </c>
      <c r="F20" s="84">
        <f t="shared" si="7"/>
        <v>9.1214278176322239</v>
      </c>
      <c r="G20" s="84">
        <f t="shared" si="7"/>
        <v>9.0301906734559054</v>
      </c>
      <c r="H20" s="84">
        <f t="shared" si="7"/>
        <v>8.9054885290983776</v>
      </c>
      <c r="I20" s="84">
        <f t="shared" si="7"/>
        <v>8.7450883191199864</v>
      </c>
      <c r="J20" s="84">
        <f t="shared" si="7"/>
        <v>8.546640821500489</v>
      </c>
      <c r="K20" s="84">
        <f t="shared" si="7"/>
        <v>8.3076752063569188</v>
      </c>
      <c r="L20" s="84">
        <f t="shared" si="7"/>
        <v>8.025593342459814</v>
      </c>
      <c r="M20" s="84">
        <f t="shared" si="7"/>
        <v>21.141569440894983</v>
      </c>
      <c r="N20" s="84">
        <f t="shared" si="7"/>
        <v>20.76492148645832</v>
      </c>
      <c r="O20" s="84">
        <f t="shared" si="7"/>
        <v>20.336538291881979</v>
      </c>
      <c r="P20" s="84">
        <f t="shared" si="7"/>
        <v>19.853250367901552</v>
      </c>
      <c r="Q20" s="84">
        <f t="shared" si="7"/>
        <v>19.31172844329231</v>
      </c>
      <c r="R20" s="84">
        <f t="shared" si="7"/>
        <v>18.708476083518889</v>
      </c>
      <c r="S20" s="84">
        <f t="shared" si="7"/>
        <v>18.03982198442931</v>
      </c>
      <c r="T20" s="84">
        <f t="shared" si="7"/>
        <v>17.301911927103333</v>
      </c>
      <c r="U20" s="84">
        <f t="shared" si="7"/>
        <v>16.490700379383156</v>
      </c>
      <c r="V20" s="84">
        <f t="shared" si="7"/>
        <v>15.601941729010093</v>
      </c>
      <c r="W20" s="84">
        <f t="shared" si="7"/>
        <v>14.631181132655655</v>
      </c>
      <c r="X20" s="84">
        <f t="shared" si="7"/>
        <v>13.573744964481534</v>
      </c>
      <c r="Y20" s="84">
        <f t="shared" si="7"/>
        <v>12.424730847176107</v>
      </c>
      <c r="Z20" s="84">
        <f t="shared" si="7"/>
        <v>11.178997247701943</v>
      </c>
      <c r="AA20" s="84">
        <f t="shared" si="7"/>
        <v>9.831152619247888</v>
      </c>
      <c r="AB20" s="84">
        <f t="shared" si="7"/>
        <v>8.3755440701048371</v>
      </c>
      <c r="AC20" s="84">
        <f t="shared" si="7"/>
        <v>6.8062455393787218</v>
      </c>
      <c r="AD20" s="84">
        <f t="shared" si="7"/>
        <v>5.1170454586176106</v>
      </c>
      <c r="AE20" s="84">
        <f t="shared" si="7"/>
        <v>3.3014338775559509</v>
      </c>
      <c r="AF20" s="85">
        <f t="shared" si="7"/>
        <v>1.3525890312696163</v>
      </c>
    </row>
    <row r="21" spans="2:33">
      <c r="B21" s="96" t="s">
        <v>423</v>
      </c>
      <c r="C21" s="84">
        <f>-$C$8</f>
        <v>-21.71883469796137</v>
      </c>
      <c r="D21" s="84">
        <f t="shared" ref="D21:I21" si="8">-$C$8</f>
        <v>-21.71883469796137</v>
      </c>
      <c r="E21" s="84">
        <f t="shared" si="8"/>
        <v>-21.71883469796137</v>
      </c>
      <c r="F21" s="84">
        <f t="shared" si="8"/>
        <v>-21.71883469796137</v>
      </c>
      <c r="G21" s="84">
        <f t="shared" si="8"/>
        <v>-21.71883469796137</v>
      </c>
      <c r="H21" s="84">
        <f t="shared" si="8"/>
        <v>-21.71883469796137</v>
      </c>
      <c r="I21" s="84">
        <f t="shared" si="8"/>
        <v>-21.71883469796137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84.462134936516449</v>
      </c>
      <c r="D22" s="99">
        <f>C22-C23-$C$7</f>
        <v>79.042132165725107</v>
      </c>
      <c r="E22" s="99">
        <f>D22-D23-$C$7</f>
        <v>73.107229131708593</v>
      </c>
      <c r="F22" s="99">
        <f t="shared" ref="F22:L22" si="9">E22-E23-$C$7</f>
        <v>66.608510309460499</v>
      </c>
      <c r="G22" s="99">
        <f t="shared" si="9"/>
        <v>59.492413199098834</v>
      </c>
      <c r="H22" s="99">
        <f>G22-G23-$C$7</f>
        <v>51.700286863252813</v>
      </c>
      <c r="I22" s="99">
        <f t="shared" si="9"/>
        <v>43.167908525501424</v>
      </c>
      <c r="J22" s="99">
        <f t="shared" si="9"/>
        <v>33.824954245663655</v>
      </c>
      <c r="K22" s="99">
        <f t="shared" si="9"/>
        <v>23.594419309241296</v>
      </c>
      <c r="L22" s="99">
        <f t="shared" si="9"/>
        <v>12.391983553858815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-8.0239028189690629</v>
      </c>
      <c r="D23" s="84">
        <f t="shared" ref="D23:L23" si="10">-D22*$C$5/100</f>
        <v>-7.5090025557438853</v>
      </c>
      <c r="E23" s="84">
        <f t="shared" si="10"/>
        <v>-6.9451867675123165</v>
      </c>
      <c r="F23" s="84">
        <f t="shared" si="10"/>
        <v>-6.3278084793987475</v>
      </c>
      <c r="G23" s="84">
        <f t="shared" si="10"/>
        <v>-5.6517792539143894</v>
      </c>
      <c r="H23" s="84">
        <f t="shared" si="10"/>
        <v>-4.9115272520090176</v>
      </c>
      <c r="I23" s="84">
        <f t="shared" si="10"/>
        <v>-4.1009513099226353</v>
      </c>
      <c r="J23" s="84">
        <f t="shared" si="10"/>
        <v>-3.2133706533380475</v>
      </c>
      <c r="K23" s="84">
        <f t="shared" si="10"/>
        <v>-2.2414698343779231</v>
      </c>
      <c r="L23" s="84">
        <f t="shared" si="10"/>
        <v>-1.1772384376165874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1">C18+C19+C21+C23</f>
        <v>-7.0837863210498426</v>
      </c>
      <c r="D24" s="122">
        <f t="shared" si="11"/>
        <v>-6.5720419878375171</v>
      </c>
      <c r="E24" s="122">
        <f t="shared" si="11"/>
        <v>-6.0387937861547751</v>
      </c>
      <c r="F24" s="122">
        <f t="shared" si="11"/>
        <v>-5.4813097699674884</v>
      </c>
      <c r="G24" s="122">
        <f t="shared" si="11"/>
        <v>-4.8965176886594488</v>
      </c>
      <c r="H24" s="122">
        <f t="shared" si="11"/>
        <v>-4.2809678311116048</v>
      </c>
      <c r="I24" s="122">
        <f t="shared" si="11"/>
        <v>-3.6307920990036138</v>
      </c>
      <c r="J24" s="122">
        <f t="shared" si="11"/>
        <v>18.777175757922848</v>
      </c>
      <c r="K24" s="122">
        <f t="shared" si="11"/>
        <v>19.5101109617394</v>
      </c>
      <c r="L24" s="122">
        <f t="shared" si="11"/>
        <v>20.292260494603632</v>
      </c>
      <c r="M24" s="122">
        <f t="shared" si="11"/>
        <v>21.141569440894983</v>
      </c>
      <c r="N24" s="122">
        <f t="shared" si="11"/>
        <v>20.76492148645832</v>
      </c>
      <c r="O24" s="122">
        <f t="shared" si="11"/>
        <v>20.336538291881979</v>
      </c>
      <c r="P24" s="122">
        <f t="shared" si="11"/>
        <v>19.853250367901552</v>
      </c>
      <c r="Q24" s="122">
        <f t="shared" si="11"/>
        <v>19.31172844329231</v>
      </c>
      <c r="R24" s="122">
        <f t="shared" si="11"/>
        <v>18.708476083518889</v>
      </c>
      <c r="S24" s="122">
        <f t="shared" si="11"/>
        <v>18.03982198442931</v>
      </c>
      <c r="T24" s="122">
        <f t="shared" si="11"/>
        <v>17.301911927103333</v>
      </c>
      <c r="U24" s="122">
        <f t="shared" si="11"/>
        <v>16.490700379383156</v>
      </c>
      <c r="V24" s="122">
        <f t="shared" si="11"/>
        <v>15.601941729010093</v>
      </c>
      <c r="W24" s="122">
        <f t="shared" si="11"/>
        <v>14.631181132655655</v>
      </c>
      <c r="X24" s="122">
        <f t="shared" si="11"/>
        <v>13.573744964481534</v>
      </c>
      <c r="Y24" s="122">
        <f t="shared" si="11"/>
        <v>12.424730847176107</v>
      </c>
      <c r="Z24" s="122">
        <f t="shared" si="11"/>
        <v>11.178997247701943</v>
      </c>
      <c r="AA24" s="122">
        <f t="shared" si="11"/>
        <v>9.831152619247888</v>
      </c>
      <c r="AB24" s="122">
        <f t="shared" si="11"/>
        <v>8.3755440701048371</v>
      </c>
      <c r="AC24" s="122">
        <f t="shared" si="11"/>
        <v>6.8062455393787218</v>
      </c>
      <c r="AD24" s="122">
        <f t="shared" si="11"/>
        <v>5.1170454586176106</v>
      </c>
      <c r="AE24" s="122">
        <f t="shared" si="11"/>
        <v>3.3014338775559509</v>
      </c>
      <c r="AF24" s="129">
        <f t="shared" si="11"/>
        <v>1.3525890312696163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-7.0837863210498426</v>
      </c>
      <c r="E26" s="84">
        <f t="shared" ref="E26:AF26" si="12">D30</f>
        <v>-13.65582830888736</v>
      </c>
      <c r="F26" s="84">
        <f t="shared" si="12"/>
        <v>-19.694622095042135</v>
      </c>
      <c r="G26" s="84">
        <f t="shared" si="12"/>
        <v>-25.175931865009623</v>
      </c>
      <c r="H26" s="84">
        <f t="shared" si="12"/>
        <v>-30.072449553669074</v>
      </c>
      <c r="I26" s="84">
        <f t="shared" si="12"/>
        <v>-34.353417384780677</v>
      </c>
      <c r="J26" s="84">
        <f t="shared" si="12"/>
        <v>-37.984209483784291</v>
      </c>
      <c r="K26" s="84">
        <f t="shared" si="12"/>
        <v>-19.207033725861443</v>
      </c>
      <c r="L26" s="84">
        <f t="shared" si="12"/>
        <v>0</v>
      </c>
      <c r="M26" s="84">
        <f t="shared" si="12"/>
        <v>0</v>
      </c>
      <c r="N26" s="84">
        <f t="shared" si="12"/>
        <v>0</v>
      </c>
      <c r="O26" s="84">
        <f t="shared" si="12"/>
        <v>0</v>
      </c>
      <c r="P26" s="84">
        <f t="shared" si="12"/>
        <v>0</v>
      </c>
      <c r="Q26" s="84">
        <f t="shared" si="12"/>
        <v>0</v>
      </c>
      <c r="R26" s="84">
        <f t="shared" si="12"/>
        <v>0</v>
      </c>
      <c r="S26" s="84">
        <f t="shared" si="12"/>
        <v>0</v>
      </c>
      <c r="T26" s="84">
        <f t="shared" si="12"/>
        <v>0</v>
      </c>
      <c r="U26" s="84">
        <f t="shared" si="12"/>
        <v>0</v>
      </c>
      <c r="V26" s="84">
        <f t="shared" si="12"/>
        <v>0</v>
      </c>
      <c r="W26" s="84">
        <f t="shared" si="12"/>
        <v>0</v>
      </c>
      <c r="X26" s="84">
        <f t="shared" si="12"/>
        <v>0</v>
      </c>
      <c r="Y26" s="84">
        <f t="shared" si="12"/>
        <v>0</v>
      </c>
      <c r="Z26" s="84">
        <f t="shared" si="12"/>
        <v>0</v>
      </c>
      <c r="AA26" s="84">
        <f t="shared" si="12"/>
        <v>0</v>
      </c>
      <c r="AB26" s="84">
        <f t="shared" si="12"/>
        <v>0</v>
      </c>
      <c r="AC26" s="84">
        <f t="shared" si="12"/>
        <v>0</v>
      </c>
      <c r="AD26" s="84">
        <f t="shared" si="12"/>
        <v>0</v>
      </c>
      <c r="AE26" s="84">
        <f t="shared" si="12"/>
        <v>0</v>
      </c>
      <c r="AF26" s="85">
        <f t="shared" si="12"/>
        <v>0</v>
      </c>
    </row>
    <row r="27" spans="2:33">
      <c r="B27" s="125" t="s">
        <v>455</v>
      </c>
      <c r="C27" s="122">
        <f>IF(C24&lt;0,C24,IF(C24&gt;0,0))</f>
        <v>-7.0837863210498426</v>
      </c>
      <c r="D27" s="122">
        <f t="shared" ref="D27:AF27" si="13">IF(D24&lt;0,D24,IF(D24&gt;0,0))</f>
        <v>-6.5720419878375171</v>
      </c>
      <c r="E27" s="122">
        <f t="shared" si="13"/>
        <v>-6.0387937861547751</v>
      </c>
      <c r="F27" s="122">
        <f t="shared" si="13"/>
        <v>-5.4813097699674884</v>
      </c>
      <c r="G27" s="122">
        <f t="shared" si="13"/>
        <v>-4.8965176886594488</v>
      </c>
      <c r="H27" s="122">
        <f t="shared" si="13"/>
        <v>-4.2809678311116048</v>
      </c>
      <c r="I27" s="122">
        <f t="shared" si="13"/>
        <v>-3.6307920990036138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22">
        <f t="shared" si="13"/>
        <v>0</v>
      </c>
      <c r="V27" s="122">
        <f t="shared" si="13"/>
        <v>0</v>
      </c>
      <c r="W27" s="122">
        <f t="shared" si="13"/>
        <v>0</v>
      </c>
      <c r="X27" s="122">
        <f t="shared" si="13"/>
        <v>0</v>
      </c>
      <c r="Y27" s="122">
        <f t="shared" si="13"/>
        <v>0</v>
      </c>
      <c r="Z27" s="122">
        <f t="shared" si="13"/>
        <v>0</v>
      </c>
      <c r="AA27" s="122">
        <f t="shared" si="13"/>
        <v>0</v>
      </c>
      <c r="AB27" s="122">
        <f t="shared" si="13"/>
        <v>0</v>
      </c>
      <c r="AC27" s="122">
        <f t="shared" si="13"/>
        <v>0</v>
      </c>
      <c r="AD27" s="122">
        <f t="shared" si="13"/>
        <v>0</v>
      </c>
      <c r="AE27" s="122">
        <f t="shared" si="13"/>
        <v>0</v>
      </c>
      <c r="AF27" s="129">
        <f t="shared" si="13"/>
        <v>0</v>
      </c>
    </row>
    <row r="28" spans="2:33">
      <c r="B28" s="124" t="s">
        <v>456</v>
      </c>
      <c r="C28" s="84">
        <f>C26+C27</f>
        <v>-7.0837863210498426</v>
      </c>
      <c r="D28" s="84">
        <f t="shared" ref="D28:AF28" si="14">D26+D27</f>
        <v>-13.65582830888736</v>
      </c>
      <c r="E28" s="84">
        <f t="shared" si="14"/>
        <v>-19.694622095042135</v>
      </c>
      <c r="F28" s="84">
        <f t="shared" si="14"/>
        <v>-25.175931865009623</v>
      </c>
      <c r="G28" s="84">
        <f t="shared" si="14"/>
        <v>-30.072449553669074</v>
      </c>
      <c r="H28" s="84">
        <f t="shared" si="14"/>
        <v>-34.353417384780677</v>
      </c>
      <c r="I28" s="84">
        <f t="shared" si="14"/>
        <v>-37.984209483784291</v>
      </c>
      <c r="J28" s="84">
        <f t="shared" si="14"/>
        <v>-37.984209483784291</v>
      </c>
      <c r="K28" s="84">
        <f t="shared" si="14"/>
        <v>-19.207033725861443</v>
      </c>
      <c r="L28" s="84">
        <f t="shared" si="14"/>
        <v>0</v>
      </c>
      <c r="M28" s="84">
        <f t="shared" si="14"/>
        <v>0</v>
      </c>
      <c r="N28" s="84">
        <f t="shared" si="14"/>
        <v>0</v>
      </c>
      <c r="O28" s="84">
        <f t="shared" si="14"/>
        <v>0</v>
      </c>
      <c r="P28" s="84">
        <f t="shared" si="14"/>
        <v>0</v>
      </c>
      <c r="Q28" s="84">
        <f t="shared" si="14"/>
        <v>0</v>
      </c>
      <c r="R28" s="84">
        <f t="shared" si="14"/>
        <v>0</v>
      </c>
      <c r="S28" s="84">
        <f t="shared" si="14"/>
        <v>0</v>
      </c>
      <c r="T28" s="84">
        <f t="shared" si="14"/>
        <v>0</v>
      </c>
      <c r="U28" s="84">
        <f t="shared" si="14"/>
        <v>0</v>
      </c>
      <c r="V28" s="84">
        <f t="shared" si="14"/>
        <v>0</v>
      </c>
      <c r="W28" s="84">
        <f t="shared" si="14"/>
        <v>0</v>
      </c>
      <c r="X28" s="84">
        <f t="shared" si="14"/>
        <v>0</v>
      </c>
      <c r="Y28" s="84">
        <f t="shared" si="14"/>
        <v>0</v>
      </c>
      <c r="Z28" s="84">
        <f t="shared" si="14"/>
        <v>0</v>
      </c>
      <c r="AA28" s="84">
        <f t="shared" si="14"/>
        <v>0</v>
      </c>
      <c r="AB28" s="84">
        <f t="shared" si="14"/>
        <v>0</v>
      </c>
      <c r="AC28" s="84">
        <f t="shared" si="14"/>
        <v>0</v>
      </c>
      <c r="AD28" s="84">
        <f t="shared" si="14"/>
        <v>0</v>
      </c>
      <c r="AE28" s="84">
        <f t="shared" si="14"/>
        <v>0</v>
      </c>
      <c r="AF28" s="85">
        <f t="shared" si="14"/>
        <v>0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5">IF(D24&lt;0,0,IF(D24+D28&lt;0,D24,IF(D24+D28&gt;0,-D28)))</f>
        <v>0</v>
      </c>
      <c r="E29" s="122">
        <f t="shared" si="15"/>
        <v>0</v>
      </c>
      <c r="F29" s="122">
        <f t="shared" si="15"/>
        <v>0</v>
      </c>
      <c r="G29" s="122">
        <f t="shared" si="15"/>
        <v>0</v>
      </c>
      <c r="H29" s="122">
        <f t="shared" si="15"/>
        <v>0</v>
      </c>
      <c r="I29" s="122">
        <f t="shared" si="15"/>
        <v>0</v>
      </c>
      <c r="J29" s="122">
        <f t="shared" si="15"/>
        <v>18.777175757922848</v>
      </c>
      <c r="K29" s="122">
        <f t="shared" si="15"/>
        <v>19.207033725861443</v>
      </c>
      <c r="L29" s="122">
        <f t="shared" si="15"/>
        <v>0</v>
      </c>
      <c r="M29" s="122">
        <f t="shared" si="15"/>
        <v>0</v>
      </c>
      <c r="N29" s="122">
        <f t="shared" si="15"/>
        <v>0</v>
      </c>
      <c r="O29" s="122">
        <f t="shared" si="15"/>
        <v>0</v>
      </c>
      <c r="P29" s="122">
        <f t="shared" si="15"/>
        <v>0</v>
      </c>
      <c r="Q29" s="122">
        <f t="shared" si="15"/>
        <v>0</v>
      </c>
      <c r="R29" s="122">
        <f t="shared" si="15"/>
        <v>0</v>
      </c>
      <c r="S29" s="122">
        <f t="shared" si="15"/>
        <v>0</v>
      </c>
      <c r="T29" s="122">
        <f t="shared" si="15"/>
        <v>0</v>
      </c>
      <c r="U29" s="122">
        <f t="shared" si="15"/>
        <v>0</v>
      </c>
      <c r="V29" s="122">
        <f t="shared" si="15"/>
        <v>0</v>
      </c>
      <c r="W29" s="122">
        <f t="shared" si="15"/>
        <v>0</v>
      </c>
      <c r="X29" s="122">
        <f t="shared" si="15"/>
        <v>0</v>
      </c>
      <c r="Y29" s="122">
        <f t="shared" si="15"/>
        <v>0</v>
      </c>
      <c r="Z29" s="122">
        <f t="shared" si="15"/>
        <v>0</v>
      </c>
      <c r="AA29" s="122">
        <f t="shared" si="15"/>
        <v>0</v>
      </c>
      <c r="AB29" s="122">
        <f t="shared" si="15"/>
        <v>0</v>
      </c>
      <c r="AC29" s="122">
        <f t="shared" si="15"/>
        <v>0</v>
      </c>
      <c r="AD29" s="122">
        <f t="shared" si="15"/>
        <v>0</v>
      </c>
      <c r="AE29" s="122">
        <f t="shared" si="15"/>
        <v>0</v>
      </c>
      <c r="AF29" s="129">
        <f t="shared" si="15"/>
        <v>0</v>
      </c>
    </row>
    <row r="30" spans="2:33">
      <c r="B30" s="126" t="s">
        <v>458</v>
      </c>
      <c r="C30" s="127">
        <f>C28+C29</f>
        <v>-7.0837863210498426</v>
      </c>
      <c r="D30" s="127">
        <f t="shared" ref="D30:AF30" si="16">D28+D29</f>
        <v>-13.65582830888736</v>
      </c>
      <c r="E30" s="127">
        <f t="shared" si="16"/>
        <v>-19.694622095042135</v>
      </c>
      <c r="F30" s="127">
        <f t="shared" si="16"/>
        <v>-25.175931865009623</v>
      </c>
      <c r="G30" s="127">
        <f t="shared" si="16"/>
        <v>-30.072449553669074</v>
      </c>
      <c r="H30" s="127">
        <f t="shared" si="16"/>
        <v>-34.353417384780677</v>
      </c>
      <c r="I30" s="127">
        <f t="shared" si="16"/>
        <v>-37.984209483784291</v>
      </c>
      <c r="J30" s="127">
        <f t="shared" si="16"/>
        <v>-19.207033725861443</v>
      </c>
      <c r="K30" s="127">
        <f t="shared" si="16"/>
        <v>0</v>
      </c>
      <c r="L30" s="127">
        <f t="shared" si="16"/>
        <v>0</v>
      </c>
      <c r="M30" s="127">
        <f t="shared" si="16"/>
        <v>0</v>
      </c>
      <c r="N30" s="127">
        <f t="shared" si="16"/>
        <v>0</v>
      </c>
      <c r="O30" s="127">
        <f t="shared" si="16"/>
        <v>0</v>
      </c>
      <c r="P30" s="127">
        <f t="shared" si="16"/>
        <v>0</v>
      </c>
      <c r="Q30" s="127">
        <f t="shared" si="16"/>
        <v>0</v>
      </c>
      <c r="R30" s="127">
        <f t="shared" si="16"/>
        <v>0</v>
      </c>
      <c r="S30" s="127">
        <f t="shared" si="16"/>
        <v>0</v>
      </c>
      <c r="T30" s="127">
        <f t="shared" si="16"/>
        <v>0</v>
      </c>
      <c r="U30" s="127">
        <f t="shared" si="16"/>
        <v>0</v>
      </c>
      <c r="V30" s="127">
        <f t="shared" si="16"/>
        <v>0</v>
      </c>
      <c r="W30" s="127">
        <f t="shared" si="16"/>
        <v>0</v>
      </c>
      <c r="X30" s="127">
        <f t="shared" si="16"/>
        <v>0</v>
      </c>
      <c r="Y30" s="127">
        <f t="shared" si="16"/>
        <v>0</v>
      </c>
      <c r="Z30" s="127">
        <f t="shared" si="16"/>
        <v>0</v>
      </c>
      <c r="AA30" s="127">
        <f t="shared" si="16"/>
        <v>0</v>
      </c>
      <c r="AB30" s="127">
        <f t="shared" si="16"/>
        <v>0</v>
      </c>
      <c r="AC30" s="127">
        <f t="shared" si="16"/>
        <v>0</v>
      </c>
      <c r="AD30" s="127">
        <f t="shared" si="16"/>
        <v>0</v>
      </c>
      <c r="AE30" s="127">
        <f t="shared" si="16"/>
        <v>0</v>
      </c>
      <c r="AF30" s="130">
        <f t="shared" si="16"/>
        <v>0</v>
      </c>
    </row>
    <row r="31" spans="2:33">
      <c r="B31" s="96" t="s">
        <v>427</v>
      </c>
      <c r="C31" s="84">
        <f>IF(C24&lt;0,0,IF(C24&gt;0,-(C24-C29)*$G$2/100))</f>
        <v>0</v>
      </c>
      <c r="D31" s="84">
        <f t="shared" ref="D31:AF31" si="17">IF(D24&lt;0,0,IF(D24&gt;0,-(D24-D29)*$G$2/100))</f>
        <v>0</v>
      </c>
      <c r="E31" s="84">
        <f t="shared" si="17"/>
        <v>0</v>
      </c>
      <c r="F31" s="84">
        <f t="shared" si="17"/>
        <v>0</v>
      </c>
      <c r="G31" s="84">
        <f t="shared" si="17"/>
        <v>0</v>
      </c>
      <c r="H31" s="84">
        <f t="shared" si="17"/>
        <v>0</v>
      </c>
      <c r="I31" s="84">
        <f t="shared" si="17"/>
        <v>0</v>
      </c>
      <c r="J31" s="84">
        <f t="shared" si="17"/>
        <v>0</v>
      </c>
      <c r="K31" s="84">
        <f t="shared" si="17"/>
        <v>-0.11971550817179309</v>
      </c>
      <c r="L31" s="84">
        <f t="shared" si="17"/>
        <v>-8.0154428953684338</v>
      </c>
      <c r="M31" s="84">
        <f t="shared" si="17"/>
        <v>-8.3509199291535179</v>
      </c>
      <c r="N31" s="84">
        <f t="shared" si="17"/>
        <v>-8.2021439871510378</v>
      </c>
      <c r="O31" s="84">
        <f t="shared" si="17"/>
        <v>-8.0329326252933821</v>
      </c>
      <c r="P31" s="84">
        <f t="shared" si="17"/>
        <v>-7.8420338953211122</v>
      </c>
      <c r="Q31" s="84">
        <f t="shared" si="17"/>
        <v>-7.6281327351004622</v>
      </c>
      <c r="R31" s="84">
        <f t="shared" si="17"/>
        <v>-7.3898480529899606</v>
      </c>
      <c r="S31" s="84">
        <f t="shared" si="17"/>
        <v>-7.1257296838495767</v>
      </c>
      <c r="T31" s="84">
        <f t="shared" si="17"/>
        <v>-6.8342552112058161</v>
      </c>
      <c r="U31" s="84">
        <f t="shared" si="17"/>
        <v>-6.5138266498563464</v>
      </c>
      <c r="V31" s="84">
        <f t="shared" si="17"/>
        <v>-6.1627669829589866</v>
      </c>
      <c r="W31" s="84">
        <f t="shared" si="17"/>
        <v>-5.7793165473989836</v>
      </c>
      <c r="X31" s="84">
        <f t="shared" si="17"/>
        <v>-5.3616292609702052</v>
      </c>
      <c r="Y31" s="84">
        <f t="shared" si="17"/>
        <v>-4.9077686846345623</v>
      </c>
      <c r="Z31" s="84">
        <f t="shared" si="17"/>
        <v>-4.4157039128422673</v>
      </c>
      <c r="AA31" s="84">
        <f t="shared" si="17"/>
        <v>-3.8833052846029159</v>
      </c>
      <c r="AB31" s="84">
        <f t="shared" si="17"/>
        <v>-3.3083399076914106</v>
      </c>
      <c r="AC31" s="84">
        <f t="shared" si="17"/>
        <v>-2.6884669880545946</v>
      </c>
      <c r="AD31" s="84">
        <f t="shared" si="17"/>
        <v>-2.0212329561539564</v>
      </c>
      <c r="AE31" s="84">
        <f t="shared" si="17"/>
        <v>-1.3040663816346005</v>
      </c>
      <c r="AF31" s="85">
        <f t="shared" si="17"/>
        <v>-0.53427266735149848</v>
      </c>
      <c r="AG31" s="101"/>
    </row>
    <row r="32" spans="2:33">
      <c r="B32" s="27" t="s">
        <v>428</v>
      </c>
      <c r="C32" s="84">
        <f t="shared" ref="C32:AF32" si="18">C20+C31</f>
        <v>9.2150456061201851</v>
      </c>
      <c r="D32" s="84">
        <f t="shared" si="18"/>
        <v>9.211889676107333</v>
      </c>
      <c r="E32" s="84">
        <f t="shared" si="18"/>
        <v>9.1813220895585061</v>
      </c>
      <c r="F32" s="84">
        <f t="shared" si="18"/>
        <v>9.1214278176322239</v>
      </c>
      <c r="G32" s="84">
        <f t="shared" si="18"/>
        <v>9.0301906734559054</v>
      </c>
      <c r="H32" s="84">
        <f t="shared" si="18"/>
        <v>8.9054885290983776</v>
      </c>
      <c r="I32" s="84">
        <f t="shared" si="18"/>
        <v>8.7450883191199864</v>
      </c>
      <c r="J32" s="84">
        <f t="shared" si="18"/>
        <v>8.546640821500489</v>
      </c>
      <c r="K32" s="84">
        <f t="shared" si="18"/>
        <v>8.187959698185125</v>
      </c>
      <c r="L32" s="84">
        <f t="shared" si="18"/>
        <v>1.0150447091380244E-2</v>
      </c>
      <c r="M32" s="84">
        <f t="shared" si="18"/>
        <v>12.790649511741465</v>
      </c>
      <c r="N32" s="84">
        <f t="shared" si="18"/>
        <v>12.562777499307282</v>
      </c>
      <c r="O32" s="84">
        <f t="shared" si="18"/>
        <v>12.303605666588597</v>
      </c>
      <c r="P32" s="84">
        <f t="shared" si="18"/>
        <v>12.01121647258044</v>
      </c>
      <c r="Q32" s="84">
        <f t="shared" si="18"/>
        <v>11.683595708191849</v>
      </c>
      <c r="R32" s="84">
        <f t="shared" si="18"/>
        <v>11.318628030528927</v>
      </c>
      <c r="S32" s="84">
        <f t="shared" si="18"/>
        <v>10.914092300579732</v>
      </c>
      <c r="T32" s="84">
        <f t="shared" si="18"/>
        <v>10.467656715897517</v>
      </c>
      <c r="U32" s="84">
        <f t="shared" si="18"/>
        <v>9.97687372952681</v>
      </c>
      <c r="V32" s="84">
        <f t="shared" si="18"/>
        <v>9.4391747460511066</v>
      </c>
      <c r="W32" s="84">
        <f t="shared" si="18"/>
        <v>8.8518645852566706</v>
      </c>
      <c r="X32" s="84">
        <f t="shared" si="18"/>
        <v>8.2121157035113299</v>
      </c>
      <c r="Y32" s="84">
        <f t="shared" si="18"/>
        <v>7.516962162541545</v>
      </c>
      <c r="Z32" s="84">
        <f t="shared" si="18"/>
        <v>6.763293334859676</v>
      </c>
      <c r="AA32" s="84">
        <f t="shared" si="18"/>
        <v>5.9478473346449725</v>
      </c>
      <c r="AB32" s="84">
        <f t="shared" si="18"/>
        <v>5.067204162413427</v>
      </c>
      <c r="AC32" s="84">
        <f t="shared" si="18"/>
        <v>4.1177785513241272</v>
      </c>
      <c r="AD32" s="84">
        <f t="shared" si="18"/>
        <v>3.0958125024636542</v>
      </c>
      <c r="AE32" s="84">
        <f t="shared" si="18"/>
        <v>1.9973674959213503</v>
      </c>
      <c r="AF32" s="85">
        <f t="shared" si="18"/>
        <v>0.8183163639181178</v>
      </c>
    </row>
    <row r="33" spans="2:33">
      <c r="B33" s="27" t="s">
        <v>422</v>
      </c>
      <c r="C33" s="84">
        <f>G4</f>
        <v>0</v>
      </c>
      <c r="D33" s="84">
        <f t="shared" ref="D33:AF33" si="19">$G$4*(1+$E$9/100)^(D16-$C$16)</f>
        <v>0</v>
      </c>
      <c r="E33" s="84">
        <f t="shared" si="19"/>
        <v>0</v>
      </c>
      <c r="F33" s="84">
        <f t="shared" si="19"/>
        <v>0</v>
      </c>
      <c r="G33" s="84">
        <f t="shared" si="19"/>
        <v>0</v>
      </c>
      <c r="H33" s="84">
        <f t="shared" si="19"/>
        <v>0</v>
      </c>
      <c r="I33" s="84">
        <f t="shared" si="19"/>
        <v>0</v>
      </c>
      <c r="J33" s="84">
        <f t="shared" si="19"/>
        <v>0</v>
      </c>
      <c r="K33" s="84">
        <f t="shared" si="19"/>
        <v>0</v>
      </c>
      <c r="L33" s="84">
        <f t="shared" si="19"/>
        <v>0</v>
      </c>
      <c r="M33" s="84">
        <f t="shared" si="19"/>
        <v>0</v>
      </c>
      <c r="N33" s="84">
        <f t="shared" si="19"/>
        <v>0</v>
      </c>
      <c r="O33" s="84">
        <f t="shared" si="19"/>
        <v>0</v>
      </c>
      <c r="P33" s="84">
        <f t="shared" si="19"/>
        <v>0</v>
      </c>
      <c r="Q33" s="84">
        <f t="shared" si="19"/>
        <v>0</v>
      </c>
      <c r="R33" s="84">
        <f t="shared" si="19"/>
        <v>0</v>
      </c>
      <c r="S33" s="84">
        <f t="shared" si="19"/>
        <v>0</v>
      </c>
      <c r="T33" s="84">
        <f t="shared" si="19"/>
        <v>0</v>
      </c>
      <c r="U33" s="84">
        <f t="shared" si="19"/>
        <v>0</v>
      </c>
      <c r="V33" s="84">
        <f t="shared" si="19"/>
        <v>0</v>
      </c>
      <c r="W33" s="84">
        <f t="shared" si="19"/>
        <v>0</v>
      </c>
      <c r="X33" s="84">
        <f t="shared" si="19"/>
        <v>0</v>
      </c>
      <c r="Y33" s="84">
        <f t="shared" si="19"/>
        <v>0</v>
      </c>
      <c r="Z33" s="84">
        <f t="shared" si="19"/>
        <v>0</v>
      </c>
      <c r="AA33" s="84">
        <f t="shared" si="19"/>
        <v>0</v>
      </c>
      <c r="AB33" s="84">
        <f t="shared" si="19"/>
        <v>0</v>
      </c>
      <c r="AC33" s="84">
        <f t="shared" si="19"/>
        <v>0</v>
      </c>
      <c r="AD33" s="84">
        <f t="shared" si="19"/>
        <v>0</v>
      </c>
      <c r="AE33" s="84">
        <f t="shared" si="19"/>
        <v>0</v>
      </c>
      <c r="AF33" s="85">
        <f t="shared" si="19"/>
        <v>0</v>
      </c>
    </row>
    <row r="34" spans="2:33">
      <c r="B34" s="27" t="s">
        <v>430</v>
      </c>
      <c r="C34" s="84">
        <f>C32+C33</f>
        <v>9.2150456061201851</v>
      </c>
      <c r="D34" s="84">
        <f t="shared" ref="D34:AF34" si="20">D32+D33</f>
        <v>9.211889676107333</v>
      </c>
      <c r="E34" s="84">
        <f>E32+E33</f>
        <v>9.1813220895585061</v>
      </c>
      <c r="F34" s="84">
        <f t="shared" si="20"/>
        <v>9.1214278176322239</v>
      </c>
      <c r="G34" s="84">
        <f t="shared" si="20"/>
        <v>9.0301906734559054</v>
      </c>
      <c r="H34" s="84">
        <f t="shared" si="20"/>
        <v>8.9054885290983776</v>
      </c>
      <c r="I34" s="84">
        <f t="shared" si="20"/>
        <v>8.7450883191199864</v>
      </c>
      <c r="J34" s="84">
        <f t="shared" si="20"/>
        <v>8.546640821500489</v>
      </c>
      <c r="K34" s="84">
        <f t="shared" si="20"/>
        <v>8.187959698185125</v>
      </c>
      <c r="L34" s="84">
        <f t="shared" si="20"/>
        <v>1.0150447091380244E-2</v>
      </c>
      <c r="M34" s="84">
        <f t="shared" si="20"/>
        <v>12.790649511741465</v>
      </c>
      <c r="N34" s="84">
        <f t="shared" si="20"/>
        <v>12.562777499307282</v>
      </c>
      <c r="O34" s="84">
        <f t="shared" si="20"/>
        <v>12.303605666588597</v>
      </c>
      <c r="P34" s="84">
        <f t="shared" si="20"/>
        <v>12.01121647258044</v>
      </c>
      <c r="Q34" s="84">
        <f t="shared" si="20"/>
        <v>11.683595708191849</v>
      </c>
      <c r="R34" s="84">
        <f t="shared" si="20"/>
        <v>11.318628030528927</v>
      </c>
      <c r="S34" s="84">
        <f t="shared" si="20"/>
        <v>10.914092300579732</v>
      </c>
      <c r="T34" s="84">
        <f t="shared" si="20"/>
        <v>10.467656715897517</v>
      </c>
      <c r="U34" s="84">
        <f t="shared" si="20"/>
        <v>9.97687372952681</v>
      </c>
      <c r="V34" s="84">
        <f t="shared" si="20"/>
        <v>9.4391747460511066</v>
      </c>
      <c r="W34" s="84">
        <f t="shared" si="20"/>
        <v>8.8518645852566706</v>
      </c>
      <c r="X34" s="84">
        <f t="shared" si="20"/>
        <v>8.2121157035113299</v>
      </c>
      <c r="Y34" s="84">
        <f t="shared" si="20"/>
        <v>7.516962162541545</v>
      </c>
      <c r="Z34" s="84">
        <f t="shared" si="20"/>
        <v>6.763293334859676</v>
      </c>
      <c r="AA34" s="84">
        <f t="shared" si="20"/>
        <v>5.9478473346449725</v>
      </c>
      <c r="AB34" s="84">
        <f t="shared" si="20"/>
        <v>5.067204162413427</v>
      </c>
      <c r="AC34" s="84">
        <f t="shared" si="20"/>
        <v>4.1177785513241272</v>
      </c>
      <c r="AD34" s="84">
        <f t="shared" si="20"/>
        <v>3.0958125024636542</v>
      </c>
      <c r="AE34" s="84">
        <f t="shared" si="20"/>
        <v>1.9973674959213503</v>
      </c>
      <c r="AF34" s="85">
        <f t="shared" si="20"/>
        <v>0.8183163639181178</v>
      </c>
    </row>
    <row r="35" spans="2:33">
      <c r="B35" s="27" t="s">
        <v>431</v>
      </c>
      <c r="C35" s="84">
        <f>C34-E4</f>
        <v>-75.247089330396264</v>
      </c>
      <c r="D35" s="84">
        <f>D34</f>
        <v>9.211889676107333</v>
      </c>
      <c r="E35" s="84">
        <f>E34</f>
        <v>9.1813220895585061</v>
      </c>
      <c r="F35" s="84">
        <f t="shared" ref="F35:AF35" si="21">F34</f>
        <v>9.1214278176322239</v>
      </c>
      <c r="G35" s="84">
        <f t="shared" si="21"/>
        <v>9.0301906734559054</v>
      </c>
      <c r="H35" s="84">
        <f t="shared" si="21"/>
        <v>8.9054885290983776</v>
      </c>
      <c r="I35" s="84">
        <f t="shared" si="21"/>
        <v>8.7450883191199864</v>
      </c>
      <c r="J35" s="84">
        <f t="shared" si="21"/>
        <v>8.546640821500489</v>
      </c>
      <c r="K35" s="84">
        <f t="shared" si="21"/>
        <v>8.187959698185125</v>
      </c>
      <c r="L35" s="84">
        <f t="shared" si="21"/>
        <v>1.0150447091380244E-2</v>
      </c>
      <c r="M35" s="84">
        <f t="shared" si="21"/>
        <v>12.790649511741465</v>
      </c>
      <c r="N35" s="84">
        <f t="shared" si="21"/>
        <v>12.562777499307282</v>
      </c>
      <c r="O35" s="84">
        <f t="shared" si="21"/>
        <v>12.303605666588597</v>
      </c>
      <c r="P35" s="84">
        <f t="shared" si="21"/>
        <v>12.01121647258044</v>
      </c>
      <c r="Q35" s="84">
        <f t="shared" si="21"/>
        <v>11.683595708191849</v>
      </c>
      <c r="R35" s="84">
        <f t="shared" si="21"/>
        <v>11.318628030528927</v>
      </c>
      <c r="S35" s="84">
        <f t="shared" si="21"/>
        <v>10.914092300579732</v>
      </c>
      <c r="T35" s="84">
        <f t="shared" si="21"/>
        <v>10.467656715897517</v>
      </c>
      <c r="U35" s="84">
        <f t="shared" si="21"/>
        <v>9.97687372952681</v>
      </c>
      <c r="V35" s="84">
        <f t="shared" si="21"/>
        <v>9.4391747460511066</v>
      </c>
      <c r="W35" s="84">
        <f t="shared" si="21"/>
        <v>8.8518645852566706</v>
      </c>
      <c r="X35" s="84">
        <f t="shared" si="21"/>
        <v>8.2121157035113299</v>
      </c>
      <c r="Y35" s="84">
        <f t="shared" si="21"/>
        <v>7.516962162541545</v>
      </c>
      <c r="Z35" s="84">
        <f t="shared" si="21"/>
        <v>6.763293334859676</v>
      </c>
      <c r="AA35" s="84">
        <f t="shared" si="21"/>
        <v>5.9478473346449725</v>
      </c>
      <c r="AB35" s="84">
        <f t="shared" si="21"/>
        <v>5.067204162413427</v>
      </c>
      <c r="AC35" s="84">
        <f t="shared" si="21"/>
        <v>4.1177785513241272</v>
      </c>
      <c r="AD35" s="84">
        <f t="shared" si="21"/>
        <v>3.0958125024636542</v>
      </c>
      <c r="AE35" s="84">
        <f t="shared" si="21"/>
        <v>1.9973674959213503</v>
      </c>
      <c r="AF35" s="85">
        <f t="shared" si="21"/>
        <v>0.8183163639181178</v>
      </c>
      <c r="AG35" s="101"/>
    </row>
    <row r="36" spans="2:33">
      <c r="B36" s="27" t="s">
        <v>432</v>
      </c>
      <c r="C36" s="84">
        <f>C35</f>
        <v>-75.247089330396264</v>
      </c>
      <c r="D36" s="84">
        <f t="shared" ref="D36:AF36" si="22">D35/(1+$E$5/100)^(D16-$C$16)</f>
        <v>8.0103388487889866</v>
      </c>
      <c r="E36" s="84">
        <f t="shared" si="22"/>
        <v>6.9423985554317635</v>
      </c>
      <c r="F36" s="84">
        <f t="shared" si="22"/>
        <v>5.9974868530498737</v>
      </c>
      <c r="G36" s="84">
        <f t="shared" si="22"/>
        <v>5.1630408258723541</v>
      </c>
      <c r="H36" s="84">
        <f t="shared" si="22"/>
        <v>4.4276017131335008</v>
      </c>
      <c r="I36" s="84">
        <f t="shared" si="22"/>
        <v>3.7807430090393779</v>
      </c>
      <c r="J36" s="84">
        <f t="shared" si="22"/>
        <v>3.212998851720763</v>
      </c>
      <c r="K36" s="84">
        <f t="shared" si="22"/>
        <v>2.676658549517648</v>
      </c>
      <c r="L36" s="84">
        <f t="shared" si="22"/>
        <v>2.8853905734816296E-3</v>
      </c>
      <c r="M36" s="84">
        <f t="shared" si="22"/>
        <v>3.1616529406676013</v>
      </c>
      <c r="N36" s="84">
        <f t="shared" si="22"/>
        <v>2.7002838819483999</v>
      </c>
      <c r="O36" s="84">
        <f t="shared" si="22"/>
        <v>2.2996318721625908</v>
      </c>
      <c r="P36" s="84">
        <f t="shared" si="22"/>
        <v>1.9521584705783912</v>
      </c>
      <c r="Q36" s="84">
        <f t="shared" si="22"/>
        <v>1.6512269018913432</v>
      </c>
      <c r="R36" s="84">
        <f t="shared" si="22"/>
        <v>1.3909969650425442</v>
      </c>
      <c r="S36" s="84">
        <f t="shared" si="22"/>
        <v>1.1663319606637157</v>
      </c>
      <c r="T36" s="84">
        <f t="shared" si="22"/>
        <v>0.97271628234889151</v>
      </c>
      <c r="U36" s="84">
        <f t="shared" si="22"/>
        <v>0.8061824679535422</v>
      </c>
      <c r="V36" s="84">
        <f t="shared" si="22"/>
        <v>0.66324664144520018</v>
      </c>
      <c r="W36" s="84">
        <f t="shared" si="22"/>
        <v>0.54085139530318682</v>
      </c>
      <c r="X36" s="84">
        <f t="shared" si="22"/>
        <v>0.43631526971881701</v>
      </c>
      <c r="Y36" s="84">
        <f t="shared" si="22"/>
        <v>0.34728807933222866</v>
      </c>
      <c r="Z36" s="84">
        <f t="shared" si="22"/>
        <v>0.27171142225147404</v>
      </c>
      <c r="AA36" s="84">
        <f t="shared" si="22"/>
        <v>0.20778378078559401</v>
      </c>
      <c r="AB36" s="84">
        <f t="shared" si="22"/>
        <v>0.15392968971215748</v>
      </c>
      <c r="AC36" s="84">
        <f t="shared" si="22"/>
        <v>0.10877250690530325</v>
      </c>
      <c r="AD36" s="84">
        <f t="shared" si="22"/>
        <v>7.1110373586699818E-2</v>
      </c>
      <c r="AE36" s="84">
        <f t="shared" si="22"/>
        <v>3.9894998053820671E-2</v>
      </c>
      <c r="AF36" s="85">
        <f t="shared" si="22"/>
        <v>1.4212938133116826E-2</v>
      </c>
      <c r="AG36" s="101"/>
    </row>
    <row r="37" spans="2:33" ht="15.75" thickBot="1">
      <c r="B37" s="29" t="s">
        <v>433</v>
      </c>
      <c r="C37" s="87">
        <f>C36</f>
        <v>-75.247089330396264</v>
      </c>
      <c r="D37" s="87">
        <f>C37+D36</f>
        <v>-67.236750481607274</v>
      </c>
      <c r="E37" s="87">
        <f t="shared" ref="E37:AF37" si="23">D37+E36</f>
        <v>-60.294351926175509</v>
      </c>
      <c r="F37" s="87">
        <f t="shared" si="23"/>
        <v>-54.296865073125637</v>
      </c>
      <c r="G37" s="87">
        <f t="shared" si="23"/>
        <v>-49.133824247253287</v>
      </c>
      <c r="H37" s="87">
        <f t="shared" si="23"/>
        <v>-44.706222534119789</v>
      </c>
      <c r="I37" s="87">
        <f t="shared" si="23"/>
        <v>-40.925479525080412</v>
      </c>
      <c r="J37" s="87">
        <f t="shared" si="23"/>
        <v>-37.71248067335965</v>
      </c>
      <c r="K37" s="87">
        <f t="shared" si="23"/>
        <v>-35.035822123842003</v>
      </c>
      <c r="L37" s="87">
        <f t="shared" si="23"/>
        <v>-35.032936733268521</v>
      </c>
      <c r="M37" s="87">
        <f t="shared" si="23"/>
        <v>-31.87128379260092</v>
      </c>
      <c r="N37" s="87">
        <f t="shared" si="23"/>
        <v>-29.170999910652519</v>
      </c>
      <c r="O37" s="87">
        <f t="shared" si="23"/>
        <v>-26.871368038489926</v>
      </c>
      <c r="P37" s="87">
        <f t="shared" si="23"/>
        <v>-24.919209567911537</v>
      </c>
      <c r="Q37" s="87">
        <f t="shared" si="23"/>
        <v>-23.267982666020195</v>
      </c>
      <c r="R37" s="87">
        <f t="shared" si="23"/>
        <v>-21.876985700977652</v>
      </c>
      <c r="S37" s="87">
        <f t="shared" si="23"/>
        <v>-20.710653740313937</v>
      </c>
      <c r="T37" s="87">
        <f t="shared" si="23"/>
        <v>-19.737937457965046</v>
      </c>
      <c r="U37" s="87">
        <f t="shared" si="23"/>
        <v>-18.931754990011505</v>
      </c>
      <c r="V37" s="87">
        <f t="shared" si="23"/>
        <v>-18.268508348566304</v>
      </c>
      <c r="W37" s="87">
        <f t="shared" si="23"/>
        <v>-17.727656953263118</v>
      </c>
      <c r="X37" s="87">
        <f t="shared" si="23"/>
        <v>-17.291341683544299</v>
      </c>
      <c r="Y37" s="87">
        <f t="shared" si="23"/>
        <v>-16.944053604212069</v>
      </c>
      <c r="Z37" s="87">
        <f t="shared" si="23"/>
        <v>-16.672342181960595</v>
      </c>
      <c r="AA37" s="87">
        <f t="shared" si="23"/>
        <v>-16.464558401175001</v>
      </c>
      <c r="AB37" s="87">
        <f t="shared" si="23"/>
        <v>-16.310628711462844</v>
      </c>
      <c r="AC37" s="87">
        <f t="shared" si="23"/>
        <v>-16.20185620455754</v>
      </c>
      <c r="AD37" s="87">
        <f t="shared" si="23"/>
        <v>-16.130745830970842</v>
      </c>
      <c r="AE37" s="87">
        <f t="shared" si="23"/>
        <v>-16.09085083291702</v>
      </c>
      <c r="AF37" s="88">
        <f t="shared" si="23"/>
        <v>-16.076637894783904</v>
      </c>
    </row>
    <row r="38" spans="2:33">
      <c r="B38" s="25" t="s">
        <v>430</v>
      </c>
      <c r="C38" s="81">
        <f>C32</f>
        <v>9.2150456061201851</v>
      </c>
      <c r="D38" s="81">
        <f t="shared" ref="D38:AF38" si="24">D32</f>
        <v>9.211889676107333</v>
      </c>
      <c r="E38" s="81">
        <f t="shared" si="24"/>
        <v>9.1813220895585061</v>
      </c>
      <c r="F38" s="81">
        <f t="shared" si="24"/>
        <v>9.1214278176322239</v>
      </c>
      <c r="G38" s="81">
        <f t="shared" si="24"/>
        <v>9.0301906734559054</v>
      </c>
      <c r="H38" s="81">
        <f t="shared" si="24"/>
        <v>8.9054885290983776</v>
      </c>
      <c r="I38" s="81">
        <f t="shared" si="24"/>
        <v>8.7450883191199864</v>
      </c>
      <c r="J38" s="81">
        <f t="shared" si="24"/>
        <v>8.546640821500489</v>
      </c>
      <c r="K38" s="81">
        <f t="shared" si="24"/>
        <v>8.187959698185125</v>
      </c>
      <c r="L38" s="81">
        <f t="shared" si="24"/>
        <v>1.0150447091380244E-2</v>
      </c>
      <c r="M38" s="81">
        <f t="shared" si="24"/>
        <v>12.790649511741465</v>
      </c>
      <c r="N38" s="81">
        <f t="shared" si="24"/>
        <v>12.562777499307282</v>
      </c>
      <c r="O38" s="81">
        <f t="shared" si="24"/>
        <v>12.303605666588597</v>
      </c>
      <c r="P38" s="81">
        <f t="shared" si="24"/>
        <v>12.01121647258044</v>
      </c>
      <c r="Q38" s="81">
        <f t="shared" si="24"/>
        <v>11.683595708191849</v>
      </c>
      <c r="R38" s="81">
        <f t="shared" si="24"/>
        <v>11.318628030528927</v>
      </c>
      <c r="S38" s="81">
        <f t="shared" si="24"/>
        <v>10.914092300579732</v>
      </c>
      <c r="T38" s="81">
        <f t="shared" si="24"/>
        <v>10.467656715897517</v>
      </c>
      <c r="U38" s="81">
        <f t="shared" si="24"/>
        <v>9.97687372952681</v>
      </c>
      <c r="V38" s="81">
        <f t="shared" si="24"/>
        <v>9.4391747460511066</v>
      </c>
      <c r="W38" s="81">
        <f t="shared" si="24"/>
        <v>8.8518645852566706</v>
      </c>
      <c r="X38" s="81">
        <f t="shared" si="24"/>
        <v>8.2121157035113299</v>
      </c>
      <c r="Y38" s="81">
        <f t="shared" si="24"/>
        <v>7.516962162541545</v>
      </c>
      <c r="Z38" s="81">
        <f t="shared" si="24"/>
        <v>6.763293334859676</v>
      </c>
      <c r="AA38" s="81">
        <f t="shared" si="24"/>
        <v>5.9478473346449725</v>
      </c>
      <c r="AB38" s="81">
        <f t="shared" si="24"/>
        <v>5.067204162413427</v>
      </c>
      <c r="AC38" s="81">
        <f t="shared" si="24"/>
        <v>4.1177785513241272</v>
      </c>
      <c r="AD38" s="81">
        <f t="shared" si="24"/>
        <v>3.0958125024636542</v>
      </c>
      <c r="AE38" s="81">
        <f t="shared" si="24"/>
        <v>1.9973674959213503</v>
      </c>
      <c r="AF38" s="82">
        <f t="shared" si="24"/>
        <v>0.8183163639181178</v>
      </c>
    </row>
    <row r="39" spans="2:33">
      <c r="B39" s="27" t="s">
        <v>431</v>
      </c>
      <c r="C39" s="84">
        <f>C38-E4</f>
        <v>-75.247089330396264</v>
      </c>
      <c r="D39" s="84">
        <f>D38</f>
        <v>9.211889676107333</v>
      </c>
      <c r="E39" s="84">
        <f t="shared" ref="E39:AF39" si="25">E38</f>
        <v>9.1813220895585061</v>
      </c>
      <c r="F39" s="84">
        <f t="shared" si="25"/>
        <v>9.1214278176322239</v>
      </c>
      <c r="G39" s="84">
        <f t="shared" si="25"/>
        <v>9.0301906734559054</v>
      </c>
      <c r="H39" s="84">
        <f t="shared" si="25"/>
        <v>8.9054885290983776</v>
      </c>
      <c r="I39" s="84">
        <f t="shared" si="25"/>
        <v>8.7450883191199864</v>
      </c>
      <c r="J39" s="84">
        <f t="shared" si="25"/>
        <v>8.546640821500489</v>
      </c>
      <c r="K39" s="84">
        <f t="shared" si="25"/>
        <v>8.187959698185125</v>
      </c>
      <c r="L39" s="84">
        <f t="shared" si="25"/>
        <v>1.0150447091380244E-2</v>
      </c>
      <c r="M39" s="84">
        <f t="shared" si="25"/>
        <v>12.790649511741465</v>
      </c>
      <c r="N39" s="84">
        <f t="shared" si="25"/>
        <v>12.562777499307282</v>
      </c>
      <c r="O39" s="84">
        <f t="shared" si="25"/>
        <v>12.303605666588597</v>
      </c>
      <c r="P39" s="84">
        <f t="shared" si="25"/>
        <v>12.01121647258044</v>
      </c>
      <c r="Q39" s="84">
        <f t="shared" si="25"/>
        <v>11.683595708191849</v>
      </c>
      <c r="R39" s="84">
        <f t="shared" si="25"/>
        <v>11.318628030528927</v>
      </c>
      <c r="S39" s="84">
        <f t="shared" si="25"/>
        <v>10.914092300579732</v>
      </c>
      <c r="T39" s="84">
        <f t="shared" si="25"/>
        <v>10.467656715897517</v>
      </c>
      <c r="U39" s="84">
        <f t="shared" si="25"/>
        <v>9.97687372952681</v>
      </c>
      <c r="V39" s="84">
        <f t="shared" si="25"/>
        <v>9.4391747460511066</v>
      </c>
      <c r="W39" s="84">
        <f t="shared" si="25"/>
        <v>8.8518645852566706</v>
      </c>
      <c r="X39" s="84">
        <f t="shared" si="25"/>
        <v>8.2121157035113299</v>
      </c>
      <c r="Y39" s="84">
        <f t="shared" si="25"/>
        <v>7.516962162541545</v>
      </c>
      <c r="Z39" s="84">
        <f t="shared" si="25"/>
        <v>6.763293334859676</v>
      </c>
      <c r="AA39" s="84">
        <f t="shared" si="25"/>
        <v>5.9478473346449725</v>
      </c>
      <c r="AB39" s="84">
        <f t="shared" si="25"/>
        <v>5.067204162413427</v>
      </c>
      <c r="AC39" s="84">
        <f t="shared" si="25"/>
        <v>4.1177785513241272</v>
      </c>
      <c r="AD39" s="84">
        <f t="shared" si="25"/>
        <v>3.0958125024636542</v>
      </c>
      <c r="AE39" s="84">
        <f t="shared" si="25"/>
        <v>1.9973674959213503</v>
      </c>
      <c r="AF39" s="85">
        <f t="shared" si="25"/>
        <v>0.8183163639181178</v>
      </c>
    </row>
    <row r="40" spans="2:33">
      <c r="B40" s="27" t="s">
        <v>432</v>
      </c>
      <c r="C40" s="84">
        <f>C39</f>
        <v>-75.247089330396264</v>
      </c>
      <c r="D40" s="84">
        <f>D39/(1+$E$5/100)^(D16-$C$16)</f>
        <v>8.0103388487889866</v>
      </c>
      <c r="E40" s="84">
        <f t="shared" ref="E40:AF40" si="26">E39/(1+$E$5/100)^(E16-$C$16)</f>
        <v>6.9423985554317635</v>
      </c>
      <c r="F40" s="84">
        <f t="shared" si="26"/>
        <v>5.9974868530498737</v>
      </c>
      <c r="G40" s="84">
        <f t="shared" si="26"/>
        <v>5.1630408258723541</v>
      </c>
      <c r="H40" s="84">
        <f t="shared" si="26"/>
        <v>4.4276017131335008</v>
      </c>
      <c r="I40" s="84">
        <f t="shared" si="26"/>
        <v>3.7807430090393779</v>
      </c>
      <c r="J40" s="84">
        <f t="shared" si="26"/>
        <v>3.212998851720763</v>
      </c>
      <c r="K40" s="84">
        <f t="shared" si="26"/>
        <v>2.676658549517648</v>
      </c>
      <c r="L40" s="84">
        <f t="shared" si="26"/>
        <v>2.8853905734816296E-3</v>
      </c>
      <c r="M40" s="84">
        <f t="shared" si="26"/>
        <v>3.1616529406676013</v>
      </c>
      <c r="N40" s="84">
        <f t="shared" si="26"/>
        <v>2.7002838819483999</v>
      </c>
      <c r="O40" s="84">
        <f t="shared" si="26"/>
        <v>2.2996318721625908</v>
      </c>
      <c r="P40" s="84">
        <f t="shared" si="26"/>
        <v>1.9521584705783912</v>
      </c>
      <c r="Q40" s="84">
        <f t="shared" si="26"/>
        <v>1.6512269018913432</v>
      </c>
      <c r="R40" s="84">
        <f t="shared" si="26"/>
        <v>1.3909969650425442</v>
      </c>
      <c r="S40" s="84">
        <f t="shared" si="26"/>
        <v>1.1663319606637157</v>
      </c>
      <c r="T40" s="84">
        <f t="shared" si="26"/>
        <v>0.97271628234889151</v>
      </c>
      <c r="U40" s="84">
        <f t="shared" si="26"/>
        <v>0.8061824679535422</v>
      </c>
      <c r="V40" s="84">
        <f t="shared" si="26"/>
        <v>0.66324664144520018</v>
      </c>
      <c r="W40" s="84">
        <f t="shared" si="26"/>
        <v>0.54085139530318682</v>
      </c>
      <c r="X40" s="84">
        <f t="shared" si="26"/>
        <v>0.43631526971881701</v>
      </c>
      <c r="Y40" s="84">
        <f t="shared" si="26"/>
        <v>0.34728807933222866</v>
      </c>
      <c r="Z40" s="84">
        <f t="shared" si="26"/>
        <v>0.27171142225147404</v>
      </c>
      <c r="AA40" s="84">
        <f t="shared" si="26"/>
        <v>0.20778378078559401</v>
      </c>
      <c r="AB40" s="84">
        <f t="shared" si="26"/>
        <v>0.15392968971215748</v>
      </c>
      <c r="AC40" s="84">
        <f t="shared" si="26"/>
        <v>0.10877250690530325</v>
      </c>
      <c r="AD40" s="84">
        <f t="shared" si="26"/>
        <v>7.1110373586699818E-2</v>
      </c>
      <c r="AE40" s="84">
        <f t="shared" si="26"/>
        <v>3.9894998053820671E-2</v>
      </c>
      <c r="AF40" s="85">
        <f t="shared" si="26"/>
        <v>1.4212938133116826E-2</v>
      </c>
    </row>
    <row r="41" spans="2:33" ht="15.75" thickBot="1">
      <c r="B41" s="29" t="s">
        <v>433</v>
      </c>
      <c r="C41" s="87">
        <f>C40</f>
        <v>-75.247089330396264</v>
      </c>
      <c r="D41" s="87">
        <f>D40+C41</f>
        <v>-67.236750481607274</v>
      </c>
      <c r="E41" s="87">
        <f t="shared" ref="E41:AF41" si="27">E40+D41</f>
        <v>-60.294351926175509</v>
      </c>
      <c r="F41" s="87">
        <f t="shared" si="27"/>
        <v>-54.296865073125637</v>
      </c>
      <c r="G41" s="87">
        <f t="shared" si="27"/>
        <v>-49.133824247253287</v>
      </c>
      <c r="H41" s="87">
        <f t="shared" si="27"/>
        <v>-44.706222534119789</v>
      </c>
      <c r="I41" s="87">
        <f t="shared" si="27"/>
        <v>-40.925479525080412</v>
      </c>
      <c r="J41" s="87">
        <f t="shared" si="27"/>
        <v>-37.71248067335965</v>
      </c>
      <c r="K41" s="87">
        <f t="shared" si="27"/>
        <v>-35.035822123842003</v>
      </c>
      <c r="L41" s="87">
        <f t="shared" si="27"/>
        <v>-35.032936733268521</v>
      </c>
      <c r="M41" s="87">
        <f t="shared" si="27"/>
        <v>-31.87128379260092</v>
      </c>
      <c r="N41" s="87">
        <f t="shared" si="27"/>
        <v>-29.170999910652519</v>
      </c>
      <c r="O41" s="87">
        <f t="shared" si="27"/>
        <v>-26.871368038489926</v>
      </c>
      <c r="P41" s="87">
        <f t="shared" si="27"/>
        <v>-24.919209567911537</v>
      </c>
      <c r="Q41" s="87">
        <f t="shared" si="27"/>
        <v>-23.267982666020195</v>
      </c>
      <c r="R41" s="87">
        <f t="shared" si="27"/>
        <v>-21.876985700977652</v>
      </c>
      <c r="S41" s="87">
        <f t="shared" si="27"/>
        <v>-20.710653740313937</v>
      </c>
      <c r="T41" s="87">
        <f t="shared" si="27"/>
        <v>-19.737937457965046</v>
      </c>
      <c r="U41" s="87">
        <f t="shared" si="27"/>
        <v>-18.931754990011505</v>
      </c>
      <c r="V41" s="87">
        <f t="shared" si="27"/>
        <v>-18.268508348566304</v>
      </c>
      <c r="W41" s="87">
        <f t="shared" si="27"/>
        <v>-17.727656953263118</v>
      </c>
      <c r="X41" s="87">
        <f t="shared" si="27"/>
        <v>-17.291341683544299</v>
      </c>
      <c r="Y41" s="87">
        <f t="shared" si="27"/>
        <v>-16.944053604212069</v>
      </c>
      <c r="Z41" s="87">
        <f t="shared" si="27"/>
        <v>-16.672342181960595</v>
      </c>
      <c r="AA41" s="87">
        <f t="shared" si="27"/>
        <v>-16.464558401175001</v>
      </c>
      <c r="AB41" s="87">
        <f t="shared" si="27"/>
        <v>-16.310628711462844</v>
      </c>
      <c r="AC41" s="87">
        <f t="shared" si="27"/>
        <v>-16.20185620455754</v>
      </c>
      <c r="AD41" s="87">
        <f t="shared" si="27"/>
        <v>-16.130745830970842</v>
      </c>
      <c r="AE41" s="87">
        <f t="shared" si="27"/>
        <v>-16.09085083291702</v>
      </c>
      <c r="AF41" s="88">
        <f t="shared" si="27"/>
        <v>-16.076637894783904</v>
      </c>
    </row>
    <row r="42" spans="2:33" ht="15.75" thickBot="1">
      <c r="B42" s="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C43" s="80" t="s">
        <v>446</v>
      </c>
      <c r="D43" s="177" t="s">
        <v>444</v>
      </c>
      <c r="E43" s="177"/>
      <c r="F43" s="177"/>
      <c r="G43" s="177"/>
      <c r="H43" s="178"/>
      <c r="I43" s="74"/>
      <c r="J43" s="80" t="s">
        <v>465</v>
      </c>
      <c r="K43" s="177" t="s">
        <v>444</v>
      </c>
      <c r="L43" s="177"/>
      <c r="M43" s="177"/>
      <c r="N43" s="177"/>
      <c r="O43" s="178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2:33">
      <c r="C44" s="120" t="s">
        <v>445</v>
      </c>
      <c r="D44" s="2" t="s">
        <v>285</v>
      </c>
      <c r="E44" s="84" t="s">
        <v>286</v>
      </c>
      <c r="F44" s="84" t="s">
        <v>287</v>
      </c>
      <c r="G44" s="84" t="s">
        <v>288</v>
      </c>
      <c r="H44" s="85" t="s">
        <v>289</v>
      </c>
      <c r="I44" s="74"/>
      <c r="J44" s="120" t="s">
        <v>445</v>
      </c>
      <c r="K44" s="2" t="s">
        <v>285</v>
      </c>
      <c r="L44" s="84" t="s">
        <v>286</v>
      </c>
      <c r="M44" s="84" t="s">
        <v>287</v>
      </c>
      <c r="N44" s="84" t="s">
        <v>288</v>
      </c>
      <c r="O44" s="85" t="s">
        <v>289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2:33">
      <c r="C45" s="120">
        <v>40</v>
      </c>
      <c r="D45" s="84">
        <v>402.32</v>
      </c>
      <c r="E45" s="84">
        <v>440.38</v>
      </c>
      <c r="F45" s="84">
        <v>416.82</v>
      </c>
      <c r="G45" s="84">
        <v>228.35</v>
      </c>
      <c r="H45" s="85">
        <v>257.52999999999997</v>
      </c>
      <c r="I45" s="74"/>
      <c r="J45" s="120">
        <v>40</v>
      </c>
      <c r="K45" s="84">
        <v>351.58</v>
      </c>
      <c r="L45" s="84">
        <v>409.28</v>
      </c>
      <c r="M45" s="84">
        <v>396.86</v>
      </c>
      <c r="N45" s="84">
        <v>223</v>
      </c>
      <c r="O45" s="85">
        <v>269.27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2:33">
      <c r="C46" s="120">
        <v>80</v>
      </c>
      <c r="D46" s="84">
        <v>460.37</v>
      </c>
      <c r="E46" s="84">
        <v>498.41</v>
      </c>
      <c r="F46" s="84">
        <v>475.11</v>
      </c>
      <c r="G46" s="84">
        <v>286.56</v>
      </c>
      <c r="H46" s="85">
        <v>315.79000000000002</v>
      </c>
      <c r="I46" s="74"/>
      <c r="J46" s="120">
        <v>80</v>
      </c>
      <c r="K46" s="84">
        <v>410.14</v>
      </c>
      <c r="L46" s="84">
        <v>467.22</v>
      </c>
      <c r="M46" s="84">
        <v>455.21</v>
      </c>
      <c r="N46" s="84">
        <v>281.23</v>
      </c>
      <c r="O46" s="85">
        <v>327.61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2:33" ht="15.75" thickBot="1">
      <c r="C47" s="149">
        <v>93</v>
      </c>
      <c r="D47" s="87">
        <v>479.23</v>
      </c>
      <c r="E47" s="87">
        <v>517.28</v>
      </c>
      <c r="F47" s="87">
        <v>494.07</v>
      </c>
      <c r="G47" s="87">
        <v>305.52</v>
      </c>
      <c r="H47" s="88">
        <v>334.74</v>
      </c>
      <c r="I47" s="74"/>
      <c r="J47" s="149">
        <v>93</v>
      </c>
      <c r="K47" s="87">
        <v>429.17</v>
      </c>
      <c r="L47" s="87">
        <v>486.08</v>
      </c>
      <c r="M47" s="87">
        <v>474.19</v>
      </c>
      <c r="N47" s="87">
        <v>300.2</v>
      </c>
      <c r="O47" s="88">
        <v>346.61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2:33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3:26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3:26"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3:26" ht="15.75" thickBot="1">
      <c r="E51" s="74"/>
      <c r="F51" s="150" t="s">
        <v>466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3:26">
      <c r="E52" s="74"/>
      <c r="F52" s="80"/>
      <c r="G52" s="39" t="s">
        <v>460</v>
      </c>
      <c r="H52" s="81"/>
      <c r="I52" s="81"/>
      <c r="J52" s="81"/>
      <c r="K52" s="82"/>
      <c r="L52" s="80"/>
      <c r="M52" s="39" t="s">
        <v>463</v>
      </c>
      <c r="N52" s="81"/>
      <c r="O52" s="81"/>
      <c r="P52" s="81"/>
      <c r="Q52" s="82"/>
      <c r="R52" s="74"/>
      <c r="S52" s="74"/>
      <c r="T52" s="74"/>
      <c r="U52" s="74"/>
      <c r="V52" s="74"/>
      <c r="W52" s="74"/>
      <c r="X52" s="74"/>
      <c r="Y52" s="74"/>
      <c r="Z52" s="74"/>
    </row>
    <row r="53" spans="3:26">
      <c r="E53" s="74"/>
      <c r="F53" s="27" t="s">
        <v>461</v>
      </c>
      <c r="G53" s="84" t="s">
        <v>285</v>
      </c>
      <c r="H53" s="84" t="s">
        <v>286</v>
      </c>
      <c r="I53" s="84" t="s">
        <v>287</v>
      </c>
      <c r="J53" s="84" t="s">
        <v>288</v>
      </c>
      <c r="K53" s="85" t="s">
        <v>289</v>
      </c>
      <c r="L53" s="27" t="s">
        <v>462</v>
      </c>
      <c r="M53" s="84" t="s">
        <v>285</v>
      </c>
      <c r="N53" s="84" t="s">
        <v>286</v>
      </c>
      <c r="O53" s="84" t="s">
        <v>287</v>
      </c>
      <c r="P53" s="84" t="s">
        <v>288</v>
      </c>
      <c r="Q53" s="85" t="s">
        <v>289</v>
      </c>
      <c r="R53" s="74"/>
      <c r="S53" s="74"/>
      <c r="T53" s="74"/>
      <c r="U53" s="74"/>
      <c r="V53" s="74"/>
      <c r="W53" s="74"/>
      <c r="X53" s="74"/>
      <c r="Y53" s="74"/>
      <c r="Z53" s="74"/>
    </row>
    <row r="54" spans="3:26">
      <c r="C54" s="74"/>
      <c r="D54" s="74"/>
      <c r="E54" s="74"/>
      <c r="F54" s="151">
        <v>89</v>
      </c>
      <c r="G54" s="34">
        <v>465.72</v>
      </c>
      <c r="H54" s="34">
        <v>492.71</v>
      </c>
      <c r="I54" s="34">
        <v>482.37</v>
      </c>
      <c r="J54" s="34">
        <v>422.35</v>
      </c>
      <c r="K54" s="56">
        <v>417.63</v>
      </c>
      <c r="L54" s="151">
        <v>89</v>
      </c>
      <c r="M54" s="56">
        <v>419.84</v>
      </c>
      <c r="N54" s="34">
        <v>535.07000000000005</v>
      </c>
      <c r="O54" s="34">
        <v>474.13</v>
      </c>
      <c r="P54" s="34">
        <v>517.22</v>
      </c>
      <c r="Q54" s="56">
        <v>556.83000000000004</v>
      </c>
      <c r="R54" s="74"/>
      <c r="S54" s="74"/>
      <c r="T54" s="74"/>
      <c r="U54" s="74"/>
      <c r="V54" s="74"/>
      <c r="W54" s="74"/>
      <c r="X54" s="74"/>
      <c r="Y54" s="74"/>
      <c r="Z54" s="74"/>
    </row>
    <row r="55" spans="3:26">
      <c r="C55" s="74"/>
      <c r="D55" s="74"/>
      <c r="E55" s="74"/>
      <c r="F55" s="151">
        <v>63</v>
      </c>
      <c r="G55" s="34">
        <v>376.62</v>
      </c>
      <c r="H55" s="34">
        <v>399.2</v>
      </c>
      <c r="I55" s="34">
        <v>396.14</v>
      </c>
      <c r="J55" s="34">
        <v>318.08</v>
      </c>
      <c r="K55" s="56">
        <v>317.77999999999997</v>
      </c>
      <c r="L55" s="151">
        <v>63</v>
      </c>
      <c r="M55" s="56">
        <v>335.43</v>
      </c>
      <c r="N55" s="34">
        <v>432.93</v>
      </c>
      <c r="O55" s="34">
        <v>388.69</v>
      </c>
      <c r="P55" s="34">
        <v>412.96</v>
      </c>
      <c r="Q55" s="56">
        <v>456.98</v>
      </c>
      <c r="R55" s="74"/>
      <c r="S55" s="74"/>
      <c r="T55" s="74"/>
      <c r="U55" s="74"/>
      <c r="V55" s="74"/>
      <c r="W55" s="74"/>
      <c r="X55" s="74"/>
      <c r="Y55" s="74"/>
      <c r="Z55" s="74"/>
    </row>
    <row r="56" spans="3:26" ht="15.75" thickBot="1">
      <c r="F56" s="152">
        <v>130</v>
      </c>
      <c r="G56" s="57">
        <v>630.01</v>
      </c>
      <c r="H56" s="57">
        <v>667.43</v>
      </c>
      <c r="I56" s="57">
        <v>628.54</v>
      </c>
      <c r="J56" s="57">
        <v>586.77</v>
      </c>
      <c r="K56" s="58">
        <v>575.1</v>
      </c>
      <c r="L56" s="152">
        <v>130</v>
      </c>
      <c r="M56" s="58">
        <v>567.38</v>
      </c>
      <c r="N56" s="57">
        <v>716.81</v>
      </c>
      <c r="O56" s="57">
        <v>619.24</v>
      </c>
      <c r="P56" s="57">
        <v>681.65</v>
      </c>
      <c r="Q56" s="58">
        <v>714.3</v>
      </c>
    </row>
    <row r="57" spans="3:26">
      <c r="C57" s="25" t="s">
        <v>525</v>
      </c>
      <c r="D57" s="81" t="s">
        <v>446</v>
      </c>
      <c r="E57" s="82" t="s">
        <v>447</v>
      </c>
      <c r="F57" s="84"/>
      <c r="G57" s="2"/>
      <c r="H57" s="84"/>
    </row>
    <row r="58" spans="3:26">
      <c r="C58" s="27"/>
      <c r="D58" s="84" t="s">
        <v>445</v>
      </c>
      <c r="E58" s="85" t="s">
        <v>445</v>
      </c>
      <c r="F58" s="84"/>
    </row>
    <row r="59" spans="3:26">
      <c r="C59" s="27" t="s">
        <v>285</v>
      </c>
      <c r="D59" s="84">
        <v>92.41</v>
      </c>
      <c r="E59" s="85">
        <v>90.95</v>
      </c>
      <c r="F59" s="84"/>
    </row>
    <row r="60" spans="3:26">
      <c r="C60" s="27" t="s">
        <v>286</v>
      </c>
      <c r="D60" s="84">
        <v>96.57</v>
      </c>
      <c r="E60" s="85">
        <v>67.17</v>
      </c>
      <c r="F60" s="84"/>
    </row>
    <row r="61" spans="3:26">
      <c r="C61" s="27" t="s">
        <v>287</v>
      </c>
      <c r="D61" s="84">
        <v>91.93</v>
      </c>
      <c r="E61" s="85">
        <v>86.03</v>
      </c>
      <c r="F61" s="84"/>
    </row>
    <row r="62" spans="3:26">
      <c r="C62" s="27" t="s">
        <v>288</v>
      </c>
      <c r="D62" s="84">
        <v>40.479999999999997</v>
      </c>
      <c r="E62" s="85">
        <v>0.85</v>
      </c>
      <c r="F62" s="84"/>
    </row>
    <row r="63" spans="3:26" ht="15.75" thickBot="1">
      <c r="C63" s="29" t="s">
        <v>289</v>
      </c>
      <c r="D63" s="87">
        <v>51.28</v>
      </c>
      <c r="E63" s="88">
        <v>-1.92</v>
      </c>
      <c r="F63" s="84"/>
    </row>
  </sheetData>
  <mergeCells count="2">
    <mergeCell ref="D43:H43"/>
    <mergeCell ref="K43:O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83"/>
  <sheetViews>
    <sheetView topLeftCell="A34" workbookViewId="0">
      <selection activeCell="K59" sqref="K59"/>
    </sheetView>
  </sheetViews>
  <sheetFormatPr defaultRowHeight="15"/>
  <cols>
    <col min="2" max="2" width="30.7109375" bestFit="1" customWidth="1"/>
    <col min="3" max="3" width="13.85546875" customWidth="1"/>
    <col min="4" max="4" width="11.5703125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47">
      <c r="B1" t="s">
        <v>365</v>
      </c>
      <c r="C1" s="74">
        <f>FCI!D44*G8*G9</f>
        <v>159.42482825405315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80"/>
      <c r="N1" s="81" t="s">
        <v>374</v>
      </c>
      <c r="O1" s="81" t="s">
        <v>416</v>
      </c>
      <c r="P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47">
      <c r="B2" t="s">
        <v>366</v>
      </c>
      <c r="C2" s="74">
        <f>C1*E2/100</f>
        <v>143.48234542864785</v>
      </c>
      <c r="D2" s="74" t="s">
        <v>436</v>
      </c>
      <c r="E2" s="74">
        <v>90</v>
      </c>
      <c r="F2" t="s">
        <v>417</v>
      </c>
      <c r="G2" s="74">
        <v>39.5</v>
      </c>
      <c r="H2" s="30">
        <v>25.7</v>
      </c>
      <c r="I2" s="30">
        <v>20</v>
      </c>
      <c r="J2" s="30">
        <v>30</v>
      </c>
      <c r="K2" s="30">
        <v>25</v>
      </c>
      <c r="M2" s="83">
        <v>2018</v>
      </c>
      <c r="N2" s="84">
        <f>E3</f>
        <v>79.712414127026577</v>
      </c>
      <c r="O2" s="84">
        <f t="shared" ref="O2:O11" si="0">N2*$C$5/100</f>
        <v>7.5726793420675245</v>
      </c>
      <c r="P2" s="85">
        <f t="shared" ref="P2:P11" si="1">N2+O2-$C$7</f>
        <v>74.589604031259626</v>
      </c>
      <c r="R2" s="74"/>
      <c r="S2" s="74"/>
      <c r="T2" s="74"/>
      <c r="U2" s="74"/>
      <c r="V2" s="74"/>
      <c r="W2" s="74"/>
      <c r="X2" s="74"/>
      <c r="Y2" s="74"/>
      <c r="Z2" s="74"/>
    </row>
    <row r="3" spans="2:47">
      <c r="B3" t="s">
        <v>367</v>
      </c>
      <c r="C3" s="74">
        <v>0.5</v>
      </c>
      <c r="D3" s="74" t="s">
        <v>369</v>
      </c>
      <c r="E3" s="74">
        <f>C3*C1</f>
        <v>79.712414127026577</v>
      </c>
      <c r="F3" t="s">
        <v>418</v>
      </c>
      <c r="G3" s="74">
        <v>13.53</v>
      </c>
      <c r="H3" s="30">
        <v>0</v>
      </c>
      <c r="I3" s="30">
        <v>29.3</v>
      </c>
      <c r="J3" s="30">
        <v>3.7</v>
      </c>
      <c r="K3" s="30">
        <v>0</v>
      </c>
      <c r="M3" s="83" t="s">
        <v>376</v>
      </c>
      <c r="N3" s="84">
        <f>P2</f>
        <v>74.589604031259626</v>
      </c>
      <c r="O3" s="84">
        <f t="shared" si="0"/>
        <v>7.0860123829696651</v>
      </c>
      <c r="P3" s="85">
        <f t="shared" si="1"/>
        <v>68.980126976394814</v>
      </c>
      <c r="T3" s="74"/>
      <c r="U3" s="74"/>
      <c r="V3" s="74"/>
      <c r="W3" s="74"/>
      <c r="X3" s="74"/>
      <c r="Y3" s="74"/>
      <c r="Z3" s="74"/>
    </row>
    <row r="4" spans="2:47">
      <c r="B4" t="s">
        <v>368</v>
      </c>
      <c r="C4" s="74">
        <f>1-C3</f>
        <v>0.5</v>
      </c>
      <c r="D4" s="74" t="s">
        <v>368</v>
      </c>
      <c r="E4" s="74">
        <f>C4*C1</f>
        <v>79.712414127026577</v>
      </c>
      <c r="F4" t="s">
        <v>422</v>
      </c>
      <c r="G4" s="74">
        <f>G3*G10/1000000</f>
        <v>2.5897710299985737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83" t="s">
        <v>377</v>
      </c>
      <c r="N4" s="84">
        <f t="shared" ref="N4:N10" si="2">P3</f>
        <v>68.980126976394814</v>
      </c>
      <c r="O4" s="84">
        <f t="shared" si="0"/>
        <v>6.5531120627575072</v>
      </c>
      <c r="P4" s="85">
        <f t="shared" si="1"/>
        <v>62.837749601317832</v>
      </c>
      <c r="R4" s="74"/>
      <c r="S4" s="74"/>
      <c r="T4" s="74"/>
      <c r="U4" s="74"/>
      <c r="V4" s="74"/>
      <c r="W4" s="74"/>
      <c r="X4" s="74"/>
      <c r="Y4" s="74"/>
      <c r="Z4" s="74"/>
    </row>
    <row r="5" spans="2:47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495.5</v>
      </c>
      <c r="H5" s="30">
        <v>495.5</v>
      </c>
      <c r="I5" s="30">
        <v>474.7</v>
      </c>
      <c r="J5" s="30">
        <v>495.5</v>
      </c>
      <c r="K5" s="30">
        <v>475.42</v>
      </c>
      <c r="M5" s="83" t="s">
        <v>378</v>
      </c>
      <c r="N5" s="84">
        <f t="shared" si="2"/>
        <v>62.837749601317832</v>
      </c>
      <c r="O5" s="84">
        <f t="shared" si="0"/>
        <v>5.9695862121251935</v>
      </c>
      <c r="P5" s="85">
        <f t="shared" si="1"/>
        <v>56.111846375608529</v>
      </c>
      <c r="R5" s="74"/>
      <c r="S5" s="74"/>
      <c r="T5" s="74"/>
      <c r="U5" s="74"/>
      <c r="V5" s="74"/>
      <c r="W5" s="74"/>
      <c r="X5" s="74"/>
      <c r="Y5" s="74"/>
      <c r="Z5" s="74"/>
    </row>
    <row r="6" spans="2:47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30</v>
      </c>
      <c r="H6" s="30">
        <v>588</v>
      </c>
      <c r="I6" s="30">
        <v>285</v>
      </c>
      <c r="J6" s="30">
        <v>856</v>
      </c>
      <c r="K6" s="30">
        <v>1064</v>
      </c>
      <c r="M6" s="83" t="s">
        <v>379</v>
      </c>
      <c r="N6" s="84">
        <f t="shared" si="2"/>
        <v>56.111846375608529</v>
      </c>
      <c r="O6" s="84">
        <f t="shared" si="0"/>
        <v>5.3306254056828104</v>
      </c>
      <c r="P6" s="85">
        <f t="shared" si="1"/>
        <v>48.74698234345685</v>
      </c>
      <c r="R6" s="74"/>
      <c r="S6" s="74"/>
      <c r="T6" s="74"/>
      <c r="U6" s="74"/>
      <c r="V6" s="74"/>
      <c r="W6" s="74"/>
      <c r="X6" s="74"/>
      <c r="Y6" s="74"/>
      <c r="Z6" s="74"/>
    </row>
    <row r="7" spans="2:47">
      <c r="B7" t="s">
        <v>386</v>
      </c>
      <c r="C7" s="74">
        <v>12.695489437834487</v>
      </c>
      <c r="D7" s="74"/>
      <c r="E7" s="74"/>
      <c r="F7" s="74" t="s">
        <v>429</v>
      </c>
      <c r="G7" s="74">
        <v>89.55</v>
      </c>
      <c r="H7" s="30">
        <v>69.3</v>
      </c>
      <c r="I7" s="30">
        <v>75.37</v>
      </c>
      <c r="J7" s="30">
        <v>75.760000000000005</v>
      </c>
      <c r="K7" s="30">
        <v>79.61</v>
      </c>
      <c r="M7" s="83" t="s">
        <v>380</v>
      </c>
      <c r="N7" s="84">
        <f t="shared" si="2"/>
        <v>48.74698234345685</v>
      </c>
      <c r="O7" s="84">
        <f t="shared" si="0"/>
        <v>4.6309633226284008</v>
      </c>
      <c r="P7" s="85">
        <f t="shared" si="1"/>
        <v>40.682456228250764</v>
      </c>
      <c r="R7" s="74"/>
      <c r="S7" s="74"/>
      <c r="T7" s="74"/>
      <c r="U7" s="74"/>
      <c r="V7" s="74"/>
      <c r="W7" s="74"/>
      <c r="X7" s="74"/>
      <c r="Y7" s="74"/>
      <c r="Z7" s="74"/>
    </row>
    <row r="8" spans="2:47">
      <c r="B8" t="s">
        <v>396</v>
      </c>
      <c r="C8" s="74">
        <f>C2/7</f>
        <v>20.497477918378262</v>
      </c>
      <c r="D8" s="74"/>
      <c r="E8" s="74"/>
      <c r="F8" s="74" t="s">
        <v>279</v>
      </c>
      <c r="G8" s="74">
        <v>1.25</v>
      </c>
      <c r="H8" s="30">
        <v>1</v>
      </c>
      <c r="I8" s="30">
        <v>0.88</v>
      </c>
      <c r="J8" s="30">
        <v>9.0399999999999991</v>
      </c>
      <c r="K8" s="30">
        <v>3.54</v>
      </c>
      <c r="M8" s="83" t="s">
        <v>381</v>
      </c>
      <c r="N8" s="84">
        <f t="shared" si="2"/>
        <v>40.682456228250764</v>
      </c>
      <c r="O8" s="84">
        <f t="shared" si="0"/>
        <v>3.8648333416838225</v>
      </c>
      <c r="P8" s="85">
        <f t="shared" si="1"/>
        <v>31.851800132100095</v>
      </c>
      <c r="R8" s="74"/>
      <c r="S8" s="74"/>
      <c r="T8" s="74"/>
      <c r="U8" s="74"/>
      <c r="V8" s="74"/>
      <c r="W8" s="74"/>
      <c r="X8" s="74"/>
      <c r="Y8" s="74"/>
      <c r="Z8" s="74"/>
    </row>
    <row r="9" spans="2:47">
      <c r="B9" t="s">
        <v>397</v>
      </c>
      <c r="C9" s="74">
        <f>'NG utility'!I1/1000*'NG utility'!I18*CashflowCanada!G5/1000000</f>
        <v>89.212261285554021</v>
      </c>
      <c r="D9" s="74" t="s">
        <v>398</v>
      </c>
      <c r="E9" s="74">
        <v>3</v>
      </c>
      <c r="F9" s="74" t="s">
        <v>435</v>
      </c>
      <c r="G9" s="74">
        <v>0.77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83" t="s">
        <v>382</v>
      </c>
      <c r="N9" s="84">
        <f t="shared" si="2"/>
        <v>31.851800132100095</v>
      </c>
      <c r="O9" s="84">
        <f t="shared" si="0"/>
        <v>3.0259210125495088</v>
      </c>
      <c r="P9" s="85">
        <f t="shared" si="1"/>
        <v>22.182231706815116</v>
      </c>
      <c r="R9" s="74"/>
      <c r="S9" s="74"/>
      <c r="T9" s="74"/>
      <c r="U9" s="74"/>
      <c r="V9" s="74"/>
      <c r="W9" s="74"/>
      <c r="X9" s="74"/>
      <c r="Y9" s="74"/>
      <c r="Z9" s="74"/>
    </row>
    <row r="10" spans="2:47">
      <c r="B10" t="s">
        <v>395</v>
      </c>
      <c r="C10" s="74">
        <f>'Maintenance &amp; Operations cost'!I30/1000000*G8*G9+0.1155*CashflowCanada!C9+G7*C14/1000/1000000</f>
        <v>65.819994621427327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191409.53658526042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83" t="s">
        <v>383</v>
      </c>
      <c r="N10" s="84">
        <f t="shared" si="2"/>
        <v>22.182231706815116</v>
      </c>
      <c r="O10" s="84">
        <f t="shared" si="0"/>
        <v>2.1073120121474362</v>
      </c>
      <c r="P10" s="85">
        <f t="shared" si="1"/>
        <v>11.594054281128065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47" ht="15.75" thickBot="1">
      <c r="F11" s="74" t="s">
        <v>459</v>
      </c>
      <c r="G11" s="74">
        <f>(0-AF41)*1000000/(G10*E6)</f>
        <v>0.43197341833626318</v>
      </c>
      <c r="H11" s="30"/>
      <c r="I11" s="30"/>
      <c r="J11" s="30"/>
      <c r="K11" s="30"/>
      <c r="M11" s="86" t="s">
        <v>384</v>
      </c>
      <c r="N11" s="87">
        <f>P10</f>
        <v>11.594054281128065</v>
      </c>
      <c r="O11" s="87">
        <f t="shared" si="0"/>
        <v>1.1014351567071661</v>
      </c>
      <c r="P11" s="88">
        <f t="shared" si="1"/>
        <v>7.4429351570870494E-13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47" ht="15.75" thickBot="1">
      <c r="F12" s="74"/>
      <c r="G12" s="74"/>
      <c r="H12" s="74"/>
      <c r="M12" s="74"/>
      <c r="R12" s="74"/>
      <c r="S12" s="74"/>
      <c r="T12" s="74"/>
      <c r="U12" s="74"/>
      <c r="V12" s="74"/>
      <c r="W12" s="74"/>
      <c r="X12" s="74"/>
      <c r="Y12" s="74"/>
      <c r="Z12" s="74"/>
      <c r="AR12" s="86" t="s">
        <v>385</v>
      </c>
      <c r="AS12" s="87">
        <f>P11</f>
        <v>7.4429351570870494E-13</v>
      </c>
      <c r="AT12" s="87">
        <f t="shared" ref="AT12:AT30" si="4">AS12*$C$5/100</f>
        <v>7.0707883992326969E-14</v>
      </c>
      <c r="AU12" s="88">
        <f t="shared" ref="AU12:AU30" si="5">AS12+AT12-$C$7</f>
        <v>-12.695489437833672</v>
      </c>
    </row>
    <row r="13" spans="2:47" ht="15.75" thickBot="1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R13" s="86" t="s">
        <v>387</v>
      </c>
      <c r="AS13" s="87">
        <f t="shared" ref="AS13:AS31" si="6">AU12</f>
        <v>-12.695489437833672</v>
      </c>
      <c r="AT13" s="87">
        <f t="shared" si="4"/>
        <v>-1.206071496594199</v>
      </c>
      <c r="AU13" s="88">
        <f t="shared" si="5"/>
        <v>-26.597050372262359</v>
      </c>
    </row>
    <row r="14" spans="2:47" ht="15.75" thickBot="1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R14" s="86" t="s">
        <v>388</v>
      </c>
      <c r="AS14" s="87">
        <f t="shared" si="6"/>
        <v>-26.597050372262359</v>
      </c>
      <c r="AT14" s="87">
        <f t="shared" si="4"/>
        <v>-2.5267197853649241</v>
      </c>
      <c r="AU14" s="88">
        <f t="shared" si="5"/>
        <v>-41.819259595461773</v>
      </c>
    </row>
    <row r="15" spans="2:47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R15" s="86" t="s">
        <v>389</v>
      </c>
      <c r="AS15" s="87">
        <f t="shared" si="6"/>
        <v>-41.819259595461773</v>
      </c>
      <c r="AT15" s="87">
        <f t="shared" si="4"/>
        <v>-3.9728296615688685</v>
      </c>
      <c r="AU15" s="88">
        <f t="shared" si="5"/>
        <v>-58.487578694865128</v>
      </c>
    </row>
    <row r="16" spans="2:47" ht="15.75" thickBot="1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95" t="s">
        <v>485</v>
      </c>
      <c r="AH16" s="95" t="s">
        <v>486</v>
      </c>
      <c r="AI16" s="95" t="s">
        <v>487</v>
      </c>
      <c r="AJ16" s="95" t="s">
        <v>488</v>
      </c>
      <c r="AK16" s="95" t="s">
        <v>493</v>
      </c>
      <c r="AL16" s="95" t="s">
        <v>494</v>
      </c>
      <c r="AM16" s="95" t="s">
        <v>495</v>
      </c>
      <c r="AN16" s="95" t="s">
        <v>496</v>
      </c>
      <c r="AO16" s="95" t="s">
        <v>497</v>
      </c>
      <c r="AP16" s="95" t="s">
        <v>498</v>
      </c>
      <c r="AR16" s="86" t="s">
        <v>390</v>
      </c>
      <c r="AS16" s="87">
        <f t="shared" si="6"/>
        <v>-58.487578694865128</v>
      </c>
      <c r="AT16" s="87">
        <f t="shared" si="4"/>
        <v>-5.5563199760121869</v>
      </c>
      <c r="AU16" s="88">
        <f t="shared" si="5"/>
        <v>-76.739388108711793</v>
      </c>
    </row>
    <row r="17" spans="2:47" ht="15.75" thickBot="1">
      <c r="B17" s="96" t="s">
        <v>412</v>
      </c>
      <c r="C17" s="84">
        <f>-C7</f>
        <v>-12.695489437834487</v>
      </c>
      <c r="D17" s="84">
        <f>-$C$7</f>
        <v>-12.695489437834487</v>
      </c>
      <c r="E17" s="84">
        <f>-$C$7</f>
        <v>-12.695489437834487</v>
      </c>
      <c r="F17" s="84">
        <f t="shared" ref="F17:L17" si="7">-$C$7</f>
        <v>-12.695489437834487</v>
      </c>
      <c r="G17" s="84">
        <f t="shared" si="7"/>
        <v>-12.695489437834487</v>
      </c>
      <c r="H17" s="84">
        <f t="shared" si="7"/>
        <v>-12.695489437834487</v>
      </c>
      <c r="I17" s="84">
        <f t="shared" si="7"/>
        <v>-12.695489437834487</v>
      </c>
      <c r="J17" s="84">
        <f t="shared" si="7"/>
        <v>-12.695489437834487</v>
      </c>
      <c r="K17" s="84">
        <f t="shared" si="7"/>
        <v>-12.695489437834487</v>
      </c>
      <c r="L17" s="84">
        <f t="shared" si="7"/>
        <v>-12.695489437834487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R17" s="86" t="s">
        <v>391</v>
      </c>
      <c r="AS17" s="87">
        <f t="shared" si="6"/>
        <v>-76.739388108711793</v>
      </c>
      <c r="AT17" s="87">
        <f t="shared" si="4"/>
        <v>-7.2902418703276206</v>
      </c>
      <c r="AU17" s="88">
        <f t="shared" si="5"/>
        <v>-96.725119416873895</v>
      </c>
    </row>
    <row r="18" spans="2:47" ht="15.75" thickBot="1">
      <c r="B18" s="96" t="s">
        <v>414</v>
      </c>
      <c r="C18" s="84">
        <f>C9</f>
        <v>89.212261285554021</v>
      </c>
      <c r="D18" s="84">
        <f>$C$9*(1+$E$9/100)^(D16-$C$16)</f>
        <v>91.888629124120641</v>
      </c>
      <c r="E18" s="84">
        <f t="shared" ref="E18:AE18" si="8">$C$9*(1+$E$9/100)^(E16-$C$16)</f>
        <v>94.645287997844264</v>
      </c>
      <c r="F18" s="84">
        <f t="shared" si="8"/>
        <v>97.484646637779591</v>
      </c>
      <c r="G18" s="84">
        <f t="shared" si="8"/>
        <v>100.40918603691297</v>
      </c>
      <c r="H18" s="84">
        <f t="shared" si="8"/>
        <v>103.42146161802034</v>
      </c>
      <c r="I18" s="84">
        <f t="shared" si="8"/>
        <v>106.52410546656097</v>
      </c>
      <c r="J18" s="84">
        <f t="shared" si="8"/>
        <v>109.7198286305578</v>
      </c>
      <c r="K18" s="84">
        <f t="shared" si="8"/>
        <v>113.01142348947452</v>
      </c>
      <c r="L18" s="84">
        <f t="shared" si="8"/>
        <v>116.40176619415877</v>
      </c>
      <c r="M18" s="84">
        <f t="shared" si="8"/>
        <v>119.89381917998352</v>
      </c>
      <c r="N18" s="84">
        <f t="shared" si="8"/>
        <v>123.49063375538304</v>
      </c>
      <c r="O18" s="84">
        <f t="shared" si="8"/>
        <v>127.19535276804451</v>
      </c>
      <c r="P18" s="84">
        <f t="shared" si="8"/>
        <v>131.01121335108584</v>
      </c>
      <c r="Q18" s="84">
        <f t="shared" si="8"/>
        <v>134.94154975161842</v>
      </c>
      <c r="R18" s="84">
        <f t="shared" si="8"/>
        <v>138.989796244167</v>
      </c>
      <c r="S18" s="84">
        <f t="shared" si="8"/>
        <v>143.15949013149196</v>
      </c>
      <c r="T18" s="84">
        <f t="shared" si="8"/>
        <v>147.45427483543673</v>
      </c>
      <c r="U18" s="84">
        <f t="shared" si="8"/>
        <v>151.87790308049983</v>
      </c>
      <c r="V18" s="84">
        <f t="shared" si="8"/>
        <v>156.43424017291483</v>
      </c>
      <c r="W18" s="84">
        <f t="shared" si="8"/>
        <v>161.12726737810226</v>
      </c>
      <c r="X18" s="84">
        <f t="shared" si="8"/>
        <v>165.96108539944532</v>
      </c>
      <c r="Y18" s="84">
        <f t="shared" si="8"/>
        <v>170.9399179614287</v>
      </c>
      <c r="Z18" s="84">
        <f t="shared" si="8"/>
        <v>176.06811550027157</v>
      </c>
      <c r="AA18" s="84">
        <f t="shared" si="8"/>
        <v>181.35015896527969</v>
      </c>
      <c r="AB18" s="84">
        <f t="shared" si="8"/>
        <v>186.79066373423808</v>
      </c>
      <c r="AC18" s="84">
        <f t="shared" si="8"/>
        <v>192.39438364626525</v>
      </c>
      <c r="AD18" s="84">
        <f t="shared" si="8"/>
        <v>198.16621515565316</v>
      </c>
      <c r="AE18" s="84">
        <f t="shared" si="8"/>
        <v>204.11120161032278</v>
      </c>
      <c r="AF18" s="85">
        <f>$C$9*(1+$E$9/100)^(AF16-$C$16)</f>
        <v>210.23453765863243</v>
      </c>
      <c r="AG18" s="85">
        <f t="shared" ref="AG18:AP18" si="9">$C$9*(1+$E$9/100)^(AG16-$C$16)</f>
        <v>216.54157378839142</v>
      </c>
      <c r="AH18" s="85">
        <f t="shared" si="9"/>
        <v>223.03782100204319</v>
      </c>
      <c r="AI18" s="85">
        <f t="shared" si="9"/>
        <v>229.72895563210443</v>
      </c>
      <c r="AJ18" s="85">
        <f t="shared" si="9"/>
        <v>236.62082430106759</v>
      </c>
      <c r="AK18" s="85">
        <f t="shared" si="9"/>
        <v>243.71944903009958</v>
      </c>
      <c r="AL18" s="85">
        <f t="shared" si="9"/>
        <v>251.03103250100258</v>
      </c>
      <c r="AM18" s="85">
        <f t="shared" si="9"/>
        <v>258.56196347603264</v>
      </c>
      <c r="AN18" s="85">
        <f t="shared" si="9"/>
        <v>266.31882238031358</v>
      </c>
      <c r="AO18" s="85">
        <f t="shared" si="9"/>
        <v>274.308387051723</v>
      </c>
      <c r="AP18" s="85">
        <f t="shared" si="9"/>
        <v>282.53763866327472</v>
      </c>
      <c r="AR18" s="86" t="s">
        <v>392</v>
      </c>
      <c r="AS18" s="87">
        <f t="shared" si="6"/>
        <v>-96.725119416873895</v>
      </c>
      <c r="AT18" s="87">
        <f t="shared" si="4"/>
        <v>-9.18888634460302</v>
      </c>
      <c r="AU18" s="88">
        <f t="shared" si="5"/>
        <v>-118.6094951993114</v>
      </c>
    </row>
    <row r="19" spans="2:47" ht="15.75" thickBot="1">
      <c r="B19" s="96" t="s">
        <v>413</v>
      </c>
      <c r="C19" s="84">
        <f>-C10</f>
        <v>-65.819994621427327</v>
      </c>
      <c r="D19" s="84">
        <f>-$C$10*(1+$E$10/100)^(D16-$C$16)</f>
        <v>-68.452794406284426</v>
      </c>
      <c r="E19" s="84">
        <f t="shared" ref="E19:AP19" si="10">-$C$10*(1+$E$10/100)^(E16-$C$16)</f>
        <v>-71.190906182535798</v>
      </c>
      <c r="F19" s="84">
        <f t="shared" si="10"/>
        <v>-74.038542429837236</v>
      </c>
      <c r="G19" s="84">
        <f t="shared" si="10"/>
        <v>-77.000084127030732</v>
      </c>
      <c r="H19" s="84">
        <f t="shared" si="10"/>
        <v>-80.080087492111971</v>
      </c>
      <c r="I19" s="84">
        <f t="shared" si="10"/>
        <v>-83.283290991796449</v>
      </c>
      <c r="J19" s="84">
        <f t="shared" si="10"/>
        <v>-86.614622631468293</v>
      </c>
      <c r="K19" s="84">
        <f t="shared" si="10"/>
        <v>-90.07920753672704</v>
      </c>
      <c r="L19" s="84">
        <f t="shared" si="10"/>
        <v>-93.682375838196137</v>
      </c>
      <c r="M19" s="84">
        <f t="shared" si="10"/>
        <v>-97.429670871723985</v>
      </c>
      <c r="N19" s="84">
        <f t="shared" si="10"/>
        <v>-101.32685770659293</v>
      </c>
      <c r="O19" s="84">
        <f t="shared" si="10"/>
        <v>-105.37993201485668</v>
      </c>
      <c r="P19" s="84">
        <f t="shared" si="10"/>
        <v>-109.59512929545095</v>
      </c>
      <c r="Q19" s="84">
        <f t="shared" si="10"/>
        <v>-113.97893446726899</v>
      </c>
      <c r="R19" s="84">
        <f t="shared" si="10"/>
        <v>-118.53809184595974</v>
      </c>
      <c r="S19" s="84">
        <f t="shared" si="10"/>
        <v>-123.27961551979814</v>
      </c>
      <c r="T19" s="84">
        <f t="shared" si="10"/>
        <v>-128.21080014059007</v>
      </c>
      <c r="U19" s="84">
        <f t="shared" si="10"/>
        <v>-133.3392321462137</v>
      </c>
      <c r="V19" s="84">
        <f t="shared" si="10"/>
        <v>-138.67280143206224</v>
      </c>
      <c r="W19" s="84">
        <f t="shared" si="10"/>
        <v>-144.21971348934471</v>
      </c>
      <c r="X19" s="84">
        <f t="shared" si="10"/>
        <v>-149.98850202891856</v>
      </c>
      <c r="Y19" s="84">
        <f t="shared" si="10"/>
        <v>-155.9880421100753</v>
      </c>
      <c r="Z19" s="84">
        <f t="shared" si="10"/>
        <v>-162.22756379447827</v>
      </c>
      <c r="AA19" s="84">
        <f t="shared" si="10"/>
        <v>-168.71666634625743</v>
      </c>
      <c r="AB19" s="84">
        <f t="shared" si="10"/>
        <v>-175.46533300010776</v>
      </c>
      <c r="AC19" s="84">
        <f t="shared" si="10"/>
        <v>-182.48394632011204</v>
      </c>
      <c r="AD19" s="84">
        <f t="shared" si="10"/>
        <v>-189.78330417291653</v>
      </c>
      <c r="AE19" s="84">
        <f t="shared" si="10"/>
        <v>-197.37463633983324</v>
      </c>
      <c r="AF19" s="85">
        <f t="shared" si="10"/>
        <v>-205.26962179342658</v>
      </c>
      <c r="AG19" s="85">
        <f t="shared" si="10"/>
        <v>-213.48040666516363</v>
      </c>
      <c r="AH19" s="85">
        <f t="shared" si="10"/>
        <v>-222.01962293177016</v>
      </c>
      <c r="AI19" s="85">
        <f t="shared" si="10"/>
        <v>-230.90040784904099</v>
      </c>
      <c r="AJ19" s="85">
        <f t="shared" si="10"/>
        <v>-240.13642416300263</v>
      </c>
      <c r="AK19" s="85">
        <f t="shared" si="10"/>
        <v>-249.74188112952277</v>
      </c>
      <c r="AL19" s="85">
        <f t="shared" si="10"/>
        <v>-259.7315563747037</v>
      </c>
      <c r="AM19" s="85">
        <f t="shared" si="10"/>
        <v>-270.12081862969183</v>
      </c>
      <c r="AN19" s="85">
        <f t="shared" si="10"/>
        <v>-280.92565137487958</v>
      </c>
      <c r="AO19" s="85">
        <f t="shared" si="10"/>
        <v>-292.16267742987469</v>
      </c>
      <c r="AP19" s="85">
        <f t="shared" si="10"/>
        <v>-303.84918452706967</v>
      </c>
      <c r="AR19" s="86" t="s">
        <v>393</v>
      </c>
      <c r="AS19" s="87">
        <f t="shared" si="6"/>
        <v>-118.6094951993114</v>
      </c>
      <c r="AT19" s="87">
        <f t="shared" si="4"/>
        <v>-11.267902043934582</v>
      </c>
      <c r="AU19" s="88">
        <f t="shared" si="5"/>
        <v>-142.57288668108046</v>
      </c>
    </row>
    <row r="20" spans="2:47" ht="15.75" thickBot="1">
      <c r="B20" s="97" t="s">
        <v>415</v>
      </c>
      <c r="C20" s="84">
        <f>SUM(C17:C19)</f>
        <v>10.696777226292213</v>
      </c>
      <c r="D20" s="84">
        <f t="shared" ref="D20:AE20" si="11">SUM(D17:D19)</f>
        <v>10.740345280001733</v>
      </c>
      <c r="E20" s="84">
        <f t="shared" si="11"/>
        <v>10.758892377473984</v>
      </c>
      <c r="F20" s="84">
        <f t="shared" si="11"/>
        <v>10.750614770107873</v>
      </c>
      <c r="G20" s="84">
        <f t="shared" si="11"/>
        <v>10.713612472047757</v>
      </c>
      <c r="H20" s="84">
        <f t="shared" si="11"/>
        <v>10.645884688073892</v>
      </c>
      <c r="I20" s="84">
        <f t="shared" si="11"/>
        <v>10.545325036930038</v>
      </c>
      <c r="J20" s="84">
        <f t="shared" si="11"/>
        <v>10.409716561255024</v>
      </c>
      <c r="K20" s="84">
        <f t="shared" si="11"/>
        <v>10.236726514913002</v>
      </c>
      <c r="L20" s="84">
        <f t="shared" si="11"/>
        <v>10.023900918128149</v>
      </c>
      <c r="M20" s="84">
        <f t="shared" si="11"/>
        <v>22.464148308259539</v>
      </c>
      <c r="N20" s="84">
        <f t="shared" si="11"/>
        <v>22.163776048790112</v>
      </c>
      <c r="O20" s="84">
        <f t="shared" si="11"/>
        <v>21.815420753187837</v>
      </c>
      <c r="P20" s="84">
        <f t="shared" si="11"/>
        <v>21.416084055634897</v>
      </c>
      <c r="Q20" s="84">
        <f t="shared" si="11"/>
        <v>20.96261528434944</v>
      </c>
      <c r="R20" s="84">
        <f t="shared" si="11"/>
        <v>20.451704398207255</v>
      </c>
      <c r="S20" s="84">
        <f t="shared" si="11"/>
        <v>19.879874611693822</v>
      </c>
      <c r="T20" s="84">
        <f t="shared" si="11"/>
        <v>19.243474694846668</v>
      </c>
      <c r="U20" s="84">
        <f t="shared" si="11"/>
        <v>18.538670934286131</v>
      </c>
      <c r="V20" s="84">
        <f t="shared" si="11"/>
        <v>17.761438740852583</v>
      </c>
      <c r="W20" s="84">
        <f t="shared" si="11"/>
        <v>16.907553888757548</v>
      </c>
      <c r="X20" s="84">
        <f t="shared" si="11"/>
        <v>15.972583370526763</v>
      </c>
      <c r="Y20" s="84">
        <f t="shared" si="11"/>
        <v>14.951875851353407</v>
      </c>
      <c r="Z20" s="84">
        <f t="shared" si="11"/>
        <v>13.840551705793303</v>
      </c>
      <c r="AA20" s="84">
        <f t="shared" si="11"/>
        <v>12.633492619022263</v>
      </c>
      <c r="AB20" s="84">
        <f t="shared" si="11"/>
        <v>11.325330734130318</v>
      </c>
      <c r="AC20" s="84">
        <f t="shared" si="11"/>
        <v>9.9104373261532146</v>
      </c>
      <c r="AD20" s="84">
        <f t="shared" si="11"/>
        <v>8.3829109827366324</v>
      </c>
      <c r="AE20" s="84">
        <f t="shared" si="11"/>
        <v>6.7365652704895354</v>
      </c>
      <c r="AF20" s="85">
        <f>SUM(AF17:AF19)</f>
        <v>4.9649158652058532</v>
      </c>
      <c r="AG20" s="85">
        <f t="shared" ref="AG20:AP20" si="12">SUM(AG17:AG19)</f>
        <v>3.0611671232277899</v>
      </c>
      <c r="AH20" s="85">
        <f t="shared" si="12"/>
        <v>1.01819807027303</v>
      </c>
      <c r="AI20" s="85">
        <f t="shared" si="12"/>
        <v>-1.171452216936558</v>
      </c>
      <c r="AJ20" s="85">
        <f t="shared" si="12"/>
        <v>-3.5155998619350441</v>
      </c>
      <c r="AK20" s="85">
        <f t="shared" si="12"/>
        <v>-6.0224320994231846</v>
      </c>
      <c r="AL20" s="85">
        <f t="shared" si="12"/>
        <v>-8.7005238737011155</v>
      </c>
      <c r="AM20" s="85">
        <f t="shared" si="12"/>
        <v>-11.558855153659181</v>
      </c>
      <c r="AN20" s="85">
        <f t="shared" si="12"/>
        <v>-14.606828994566001</v>
      </c>
      <c r="AO20" s="85">
        <f t="shared" si="12"/>
        <v>-17.854290378151688</v>
      </c>
      <c r="AP20" s="85">
        <f t="shared" si="12"/>
        <v>-21.311545863794947</v>
      </c>
      <c r="AR20" s="86" t="s">
        <v>400</v>
      </c>
      <c r="AS20" s="87">
        <f t="shared" si="6"/>
        <v>-142.57288668108046</v>
      </c>
      <c r="AT20" s="87">
        <f t="shared" si="4"/>
        <v>-13.544424234702644</v>
      </c>
      <c r="AU20" s="88">
        <f t="shared" si="5"/>
        <v>-168.81280035361758</v>
      </c>
    </row>
    <row r="21" spans="2:47" ht="15.75" thickBot="1">
      <c r="B21" s="96" t="s">
        <v>423</v>
      </c>
      <c r="C21" s="84">
        <f>-$C$8</f>
        <v>-20.497477918378262</v>
      </c>
      <c r="D21" s="84">
        <f t="shared" ref="D21:I21" si="13">-$C$8</f>
        <v>-20.497477918378262</v>
      </c>
      <c r="E21" s="84">
        <f t="shared" si="13"/>
        <v>-20.497477918378262</v>
      </c>
      <c r="F21" s="84">
        <f t="shared" si="13"/>
        <v>-20.497477918378262</v>
      </c>
      <c r="G21" s="84">
        <f t="shared" si="13"/>
        <v>-20.497477918378262</v>
      </c>
      <c r="H21" s="84">
        <f t="shared" si="13"/>
        <v>-20.497477918378262</v>
      </c>
      <c r="I21" s="84">
        <f t="shared" si="13"/>
        <v>-20.497477918378262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  <c r="AR21" s="86" t="s">
        <v>401</v>
      </c>
      <c r="AS21" s="87">
        <f t="shared" si="6"/>
        <v>-168.81280035361758</v>
      </c>
      <c r="AT21" s="87">
        <f t="shared" si="4"/>
        <v>-16.037216033593669</v>
      </c>
      <c r="AU21" s="88">
        <f t="shared" si="5"/>
        <v>-197.54550582504572</v>
      </c>
    </row>
    <row r="22" spans="2:47" ht="15.75" thickBot="1">
      <c r="B22" s="98" t="s">
        <v>424</v>
      </c>
      <c r="C22" s="99">
        <f>E3</f>
        <v>79.712414127026577</v>
      </c>
      <c r="D22" s="99">
        <f>C22-C23-$C$7</f>
        <v>74.589604031259626</v>
      </c>
      <c r="E22" s="99">
        <f>D22-D23-$C$7</f>
        <v>68.980126976394814</v>
      </c>
      <c r="F22" s="99">
        <f t="shared" ref="F22:K22" si="14">E22-E23-$C$7</f>
        <v>62.837749601317832</v>
      </c>
      <c r="G22" s="99">
        <f t="shared" si="14"/>
        <v>56.111846375608529</v>
      </c>
      <c r="H22" s="99">
        <f>G22-G23-$C$7</f>
        <v>48.74698234345685</v>
      </c>
      <c r="I22" s="99">
        <f t="shared" si="14"/>
        <v>40.682456228250764</v>
      </c>
      <c r="J22" s="99">
        <f t="shared" si="14"/>
        <v>31.851800132100095</v>
      </c>
      <c r="K22" s="99">
        <f t="shared" si="14"/>
        <v>22.182231706815116</v>
      </c>
      <c r="L22" s="99">
        <f>K22-K23-$C$7</f>
        <v>11.594054281128065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R22" s="86" t="s">
        <v>402</v>
      </c>
      <c r="AS22" s="87">
        <f t="shared" si="6"/>
        <v>-197.54550582504572</v>
      </c>
      <c r="AT22" s="87">
        <f t="shared" si="4"/>
        <v>-18.766823053379344</v>
      </c>
      <c r="AU22" s="88">
        <f t="shared" si="5"/>
        <v>-229.00781831625955</v>
      </c>
    </row>
    <row r="23" spans="2:47" ht="15.75" thickBot="1">
      <c r="B23" s="96" t="s">
        <v>425</v>
      </c>
      <c r="C23" s="84">
        <f>-C22*$C$5/100</f>
        <v>-7.5726793420675245</v>
      </c>
      <c r="D23" s="84">
        <f t="shared" ref="D23:K23" si="15">-D22*$C$5/100</f>
        <v>-7.0860123829696651</v>
      </c>
      <c r="E23" s="84">
        <f t="shared" si="15"/>
        <v>-6.5531120627575072</v>
      </c>
      <c r="F23" s="84">
        <f t="shared" si="15"/>
        <v>-5.9695862121251935</v>
      </c>
      <c r="G23" s="84">
        <f t="shared" si="15"/>
        <v>-5.3306254056828104</v>
      </c>
      <c r="H23" s="84">
        <f t="shared" si="15"/>
        <v>-4.6309633226284008</v>
      </c>
      <c r="I23" s="84">
        <f t="shared" si="15"/>
        <v>-3.8648333416838225</v>
      </c>
      <c r="J23" s="84">
        <f t="shared" si="15"/>
        <v>-3.0259210125495088</v>
      </c>
      <c r="K23" s="84">
        <f t="shared" si="15"/>
        <v>-2.1073120121474362</v>
      </c>
      <c r="L23" s="84">
        <f>-L22*$C$5/100</f>
        <v>-1.1014351567071661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R23" s="86" t="s">
        <v>403</v>
      </c>
      <c r="AS23" s="87">
        <f t="shared" si="6"/>
        <v>-229.00781831625955</v>
      </c>
      <c r="AT23" s="87">
        <f t="shared" si="4"/>
        <v>-21.755742740044656</v>
      </c>
      <c r="AU23" s="88">
        <f t="shared" si="5"/>
        <v>-263.45905049413869</v>
      </c>
    </row>
    <row r="24" spans="2:47" ht="15.75" thickBot="1">
      <c r="B24" s="128" t="s">
        <v>426</v>
      </c>
      <c r="C24" s="122">
        <f t="shared" ref="C24:AP24" si="16">C18+C19+C21+C23</f>
        <v>-4.6778905963190924</v>
      </c>
      <c r="D24" s="122">
        <f t="shared" si="16"/>
        <v>-4.1476555835117122</v>
      </c>
      <c r="E24" s="122">
        <f t="shared" si="16"/>
        <v>-3.5962081658273037</v>
      </c>
      <c r="F24" s="122">
        <f t="shared" si="16"/>
        <v>-3.0209599225611008</v>
      </c>
      <c r="G24" s="122">
        <f t="shared" si="16"/>
        <v>-2.4190014141788341</v>
      </c>
      <c r="H24" s="122">
        <f t="shared" si="16"/>
        <v>-1.7870671150982895</v>
      </c>
      <c r="I24" s="122">
        <f t="shared" si="16"/>
        <v>-1.1214967852975652</v>
      </c>
      <c r="J24" s="122">
        <f t="shared" si="16"/>
        <v>20.079284986539996</v>
      </c>
      <c r="K24" s="122">
        <f t="shared" si="16"/>
        <v>20.824903940600048</v>
      </c>
      <c r="L24" s="122">
        <f t="shared" si="16"/>
        <v>21.617955199255466</v>
      </c>
      <c r="M24" s="122">
        <f t="shared" si="16"/>
        <v>22.464148308259539</v>
      </c>
      <c r="N24" s="122">
        <f t="shared" si="16"/>
        <v>22.163776048790112</v>
      </c>
      <c r="O24" s="122">
        <f t="shared" si="16"/>
        <v>21.815420753187837</v>
      </c>
      <c r="P24" s="122">
        <f t="shared" si="16"/>
        <v>21.416084055634897</v>
      </c>
      <c r="Q24" s="122">
        <f t="shared" si="16"/>
        <v>20.96261528434944</v>
      </c>
      <c r="R24" s="122">
        <f t="shared" si="16"/>
        <v>20.451704398207255</v>
      </c>
      <c r="S24" s="122">
        <f t="shared" si="16"/>
        <v>19.879874611693822</v>
      </c>
      <c r="T24" s="122">
        <f t="shared" si="16"/>
        <v>19.243474694846668</v>
      </c>
      <c r="U24" s="122">
        <f t="shared" si="16"/>
        <v>18.538670934286131</v>
      </c>
      <c r="V24" s="122">
        <f t="shared" si="16"/>
        <v>17.761438740852583</v>
      </c>
      <c r="W24" s="122">
        <f t="shared" si="16"/>
        <v>16.907553888757548</v>
      </c>
      <c r="X24" s="122">
        <f t="shared" si="16"/>
        <v>15.972583370526763</v>
      </c>
      <c r="Y24" s="122">
        <f t="shared" si="16"/>
        <v>14.951875851353407</v>
      </c>
      <c r="Z24" s="122">
        <f t="shared" si="16"/>
        <v>13.840551705793303</v>
      </c>
      <c r="AA24" s="122">
        <f t="shared" si="16"/>
        <v>12.633492619022263</v>
      </c>
      <c r="AB24" s="122">
        <f t="shared" si="16"/>
        <v>11.325330734130318</v>
      </c>
      <c r="AC24" s="122">
        <f t="shared" si="16"/>
        <v>9.9104373261532146</v>
      </c>
      <c r="AD24" s="122">
        <f t="shared" si="16"/>
        <v>8.3829109827366324</v>
      </c>
      <c r="AE24" s="122">
        <f t="shared" si="16"/>
        <v>6.7365652704895354</v>
      </c>
      <c r="AF24" s="129">
        <f t="shared" si="16"/>
        <v>4.9649158652058532</v>
      </c>
      <c r="AG24" s="129">
        <f t="shared" si="16"/>
        <v>3.0611671232277899</v>
      </c>
      <c r="AH24" s="129">
        <f t="shared" si="16"/>
        <v>1.01819807027303</v>
      </c>
      <c r="AI24" s="129">
        <f>AI18+AI19+AI21+AI23</f>
        <v>-1.171452216936558</v>
      </c>
      <c r="AJ24" s="129">
        <f t="shared" si="16"/>
        <v>-3.5155998619350441</v>
      </c>
      <c r="AK24" s="129">
        <f t="shared" si="16"/>
        <v>-6.0224320994231846</v>
      </c>
      <c r="AL24" s="129">
        <f t="shared" si="16"/>
        <v>-8.7005238737011155</v>
      </c>
      <c r="AM24" s="129">
        <f t="shared" si="16"/>
        <v>-11.558855153659181</v>
      </c>
      <c r="AN24" s="129">
        <f t="shared" si="16"/>
        <v>-14.606828994566001</v>
      </c>
      <c r="AO24" s="129">
        <f t="shared" si="16"/>
        <v>-17.854290378151688</v>
      </c>
      <c r="AP24" s="129">
        <f t="shared" si="16"/>
        <v>-21.311545863794947</v>
      </c>
      <c r="AR24" s="86" t="s">
        <v>404</v>
      </c>
      <c r="AS24" s="87">
        <f t="shared" si="6"/>
        <v>-263.45905049413869</v>
      </c>
      <c r="AT24" s="87">
        <f t="shared" si="4"/>
        <v>-25.028609796943172</v>
      </c>
      <c r="AU24" s="88">
        <f t="shared" si="5"/>
        <v>-301.18314972891636</v>
      </c>
    </row>
    <row r="25" spans="2:47" ht="15.75" thickBot="1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R25" s="86" t="s">
        <v>405</v>
      </c>
      <c r="AS25" s="87">
        <f t="shared" si="6"/>
        <v>-301.18314972891636</v>
      </c>
      <c r="AT25" s="87">
        <f t="shared" si="4"/>
        <v>-28.612399224247056</v>
      </c>
      <c r="AU25" s="88">
        <f t="shared" si="5"/>
        <v>-342.49103839099791</v>
      </c>
    </row>
    <row r="26" spans="2:47" ht="15.75" thickBot="1">
      <c r="B26" s="124" t="s">
        <v>454</v>
      </c>
      <c r="C26" s="84">
        <v>0</v>
      </c>
      <c r="D26" s="84">
        <f>C30</f>
        <v>-4.6778905963190924</v>
      </c>
      <c r="E26" s="84">
        <f t="shared" ref="E26:AF26" si="17">D30</f>
        <v>-8.8255461798308055</v>
      </c>
      <c r="F26" s="84">
        <f t="shared" si="17"/>
        <v>-12.421754345658108</v>
      </c>
      <c r="G26" s="84">
        <f t="shared" si="17"/>
        <v>-15.442714268219209</v>
      </c>
      <c r="H26" s="84">
        <f t="shared" si="17"/>
        <v>-17.861715682398042</v>
      </c>
      <c r="I26" s="84">
        <f t="shared" si="17"/>
        <v>-19.648782797496331</v>
      </c>
      <c r="J26" s="84">
        <f t="shared" si="17"/>
        <v>-20.770279582793897</v>
      </c>
      <c r="K26" s="84">
        <f t="shared" si="17"/>
        <v>-0.69099459625390125</v>
      </c>
      <c r="L26" s="84">
        <f t="shared" si="17"/>
        <v>0</v>
      </c>
      <c r="M26" s="84">
        <f t="shared" si="17"/>
        <v>0</v>
      </c>
      <c r="N26" s="84">
        <f t="shared" si="17"/>
        <v>0</v>
      </c>
      <c r="O26" s="84">
        <f t="shared" si="17"/>
        <v>0</v>
      </c>
      <c r="P26" s="84">
        <f t="shared" si="17"/>
        <v>0</v>
      </c>
      <c r="Q26" s="84">
        <f t="shared" si="17"/>
        <v>0</v>
      </c>
      <c r="R26" s="84">
        <f t="shared" si="17"/>
        <v>0</v>
      </c>
      <c r="S26" s="84">
        <f t="shared" si="17"/>
        <v>0</v>
      </c>
      <c r="T26" s="84">
        <f t="shared" si="17"/>
        <v>0</v>
      </c>
      <c r="U26" s="84">
        <f t="shared" si="17"/>
        <v>0</v>
      </c>
      <c r="V26" s="84">
        <f t="shared" si="17"/>
        <v>0</v>
      </c>
      <c r="W26" s="84">
        <f t="shared" si="17"/>
        <v>0</v>
      </c>
      <c r="X26" s="84">
        <f t="shared" si="17"/>
        <v>0</v>
      </c>
      <c r="Y26" s="84">
        <f t="shared" si="17"/>
        <v>0</v>
      </c>
      <c r="Z26" s="84">
        <f t="shared" si="17"/>
        <v>0</v>
      </c>
      <c r="AA26" s="84">
        <f t="shared" si="17"/>
        <v>0</v>
      </c>
      <c r="AB26" s="84">
        <f t="shared" si="17"/>
        <v>0</v>
      </c>
      <c r="AC26" s="84">
        <f t="shared" si="17"/>
        <v>0</v>
      </c>
      <c r="AD26" s="84">
        <f t="shared" si="17"/>
        <v>0</v>
      </c>
      <c r="AE26" s="84">
        <f t="shared" si="17"/>
        <v>0</v>
      </c>
      <c r="AF26" s="85">
        <f t="shared" si="17"/>
        <v>0</v>
      </c>
      <c r="AR26" s="86" t="s">
        <v>406</v>
      </c>
      <c r="AS26" s="87">
        <f t="shared" si="6"/>
        <v>-342.49103839099791</v>
      </c>
      <c r="AT26" s="87">
        <f t="shared" si="4"/>
        <v>-32.536648647144801</v>
      </c>
      <c r="AU26" s="88">
        <f t="shared" si="5"/>
        <v>-387.72317647597725</v>
      </c>
    </row>
    <row r="27" spans="2:47" ht="15.75" thickBot="1">
      <c r="B27" s="125" t="s">
        <v>455</v>
      </c>
      <c r="C27" s="122">
        <f>IF(C24&lt;0,C24,IF(C24&gt;0,0))</f>
        <v>-4.6778905963190924</v>
      </c>
      <c r="D27" s="122">
        <f t="shared" ref="D27:AF27" si="18">IF(D24&lt;0,D24,IF(D24&gt;0,0))</f>
        <v>-4.1476555835117122</v>
      </c>
      <c r="E27" s="122">
        <f t="shared" si="18"/>
        <v>-3.5962081658273037</v>
      </c>
      <c r="F27" s="122">
        <f t="shared" si="18"/>
        <v>-3.0209599225611008</v>
      </c>
      <c r="G27" s="122">
        <f t="shared" si="18"/>
        <v>-2.4190014141788341</v>
      </c>
      <c r="H27" s="122">
        <f t="shared" si="18"/>
        <v>-1.7870671150982895</v>
      </c>
      <c r="I27" s="122">
        <f t="shared" si="18"/>
        <v>-1.1214967852975652</v>
      </c>
      <c r="J27" s="122">
        <f t="shared" si="18"/>
        <v>0</v>
      </c>
      <c r="K27" s="122">
        <f t="shared" si="18"/>
        <v>0</v>
      </c>
      <c r="L27" s="122">
        <f t="shared" si="18"/>
        <v>0</v>
      </c>
      <c r="M27" s="122">
        <f t="shared" si="18"/>
        <v>0</v>
      </c>
      <c r="N27" s="122">
        <f t="shared" si="18"/>
        <v>0</v>
      </c>
      <c r="O27" s="122">
        <f t="shared" si="18"/>
        <v>0</v>
      </c>
      <c r="P27" s="122">
        <f t="shared" si="18"/>
        <v>0</v>
      </c>
      <c r="Q27" s="122">
        <f t="shared" si="18"/>
        <v>0</v>
      </c>
      <c r="R27" s="122">
        <f t="shared" si="18"/>
        <v>0</v>
      </c>
      <c r="S27" s="122">
        <f t="shared" si="18"/>
        <v>0</v>
      </c>
      <c r="T27" s="122">
        <f t="shared" si="18"/>
        <v>0</v>
      </c>
      <c r="U27" s="122">
        <f t="shared" si="18"/>
        <v>0</v>
      </c>
      <c r="V27" s="122">
        <f t="shared" si="18"/>
        <v>0</v>
      </c>
      <c r="W27" s="122">
        <f t="shared" si="18"/>
        <v>0</v>
      </c>
      <c r="X27" s="122">
        <f t="shared" si="18"/>
        <v>0</v>
      </c>
      <c r="Y27" s="122">
        <f t="shared" si="18"/>
        <v>0</v>
      </c>
      <c r="Z27" s="122">
        <f t="shared" si="18"/>
        <v>0</v>
      </c>
      <c r="AA27" s="122">
        <f t="shared" si="18"/>
        <v>0</v>
      </c>
      <c r="AB27" s="122">
        <f t="shared" si="18"/>
        <v>0</v>
      </c>
      <c r="AC27" s="122">
        <f t="shared" si="18"/>
        <v>0</v>
      </c>
      <c r="AD27" s="122">
        <f t="shared" si="18"/>
        <v>0</v>
      </c>
      <c r="AE27" s="122">
        <f t="shared" si="18"/>
        <v>0</v>
      </c>
      <c r="AF27" s="129">
        <f t="shared" si="18"/>
        <v>0</v>
      </c>
      <c r="AR27" s="86" t="s">
        <v>407</v>
      </c>
      <c r="AS27" s="87">
        <f t="shared" si="6"/>
        <v>-387.72317647597725</v>
      </c>
      <c r="AT27" s="87">
        <f t="shared" si="4"/>
        <v>-36.833701765217839</v>
      </c>
      <c r="AU27" s="88">
        <f t="shared" si="5"/>
        <v>-437.25236767902959</v>
      </c>
    </row>
    <row r="28" spans="2:47" ht="15.75" thickBot="1">
      <c r="B28" s="124" t="s">
        <v>456</v>
      </c>
      <c r="C28" s="84">
        <f>C26+C27</f>
        <v>-4.6778905963190924</v>
      </c>
      <c r="D28" s="84">
        <f t="shared" ref="D28:AF28" si="19">D26+D27</f>
        <v>-8.8255461798308055</v>
      </c>
      <c r="E28" s="84">
        <f t="shared" si="19"/>
        <v>-12.421754345658108</v>
      </c>
      <c r="F28" s="84">
        <f t="shared" si="19"/>
        <v>-15.442714268219209</v>
      </c>
      <c r="G28" s="84">
        <f t="shared" si="19"/>
        <v>-17.861715682398042</v>
      </c>
      <c r="H28" s="84">
        <f t="shared" si="19"/>
        <v>-19.648782797496331</v>
      </c>
      <c r="I28" s="84">
        <f t="shared" si="19"/>
        <v>-20.770279582793897</v>
      </c>
      <c r="J28" s="84">
        <f t="shared" si="19"/>
        <v>-20.770279582793897</v>
      </c>
      <c r="K28" s="84">
        <f t="shared" si="19"/>
        <v>-0.69099459625390125</v>
      </c>
      <c r="L28" s="84">
        <f t="shared" si="19"/>
        <v>0</v>
      </c>
      <c r="M28" s="84">
        <f t="shared" si="19"/>
        <v>0</v>
      </c>
      <c r="N28" s="84">
        <f t="shared" si="19"/>
        <v>0</v>
      </c>
      <c r="O28" s="84">
        <f t="shared" si="19"/>
        <v>0</v>
      </c>
      <c r="P28" s="84">
        <f t="shared" si="19"/>
        <v>0</v>
      </c>
      <c r="Q28" s="84">
        <f t="shared" si="19"/>
        <v>0</v>
      </c>
      <c r="R28" s="84">
        <f t="shared" si="19"/>
        <v>0</v>
      </c>
      <c r="S28" s="84">
        <f t="shared" si="19"/>
        <v>0</v>
      </c>
      <c r="T28" s="84">
        <f t="shared" si="19"/>
        <v>0</v>
      </c>
      <c r="U28" s="84">
        <f t="shared" si="19"/>
        <v>0</v>
      </c>
      <c r="V28" s="84">
        <f t="shared" si="19"/>
        <v>0</v>
      </c>
      <c r="W28" s="84">
        <f t="shared" si="19"/>
        <v>0</v>
      </c>
      <c r="X28" s="84">
        <f t="shared" si="19"/>
        <v>0</v>
      </c>
      <c r="Y28" s="84">
        <f t="shared" si="19"/>
        <v>0</v>
      </c>
      <c r="Z28" s="84">
        <f t="shared" si="19"/>
        <v>0</v>
      </c>
      <c r="AA28" s="84">
        <f t="shared" si="19"/>
        <v>0</v>
      </c>
      <c r="AB28" s="84">
        <f t="shared" si="19"/>
        <v>0</v>
      </c>
      <c r="AC28" s="84">
        <f t="shared" si="19"/>
        <v>0</v>
      </c>
      <c r="AD28" s="84">
        <f t="shared" si="19"/>
        <v>0</v>
      </c>
      <c r="AE28" s="84">
        <f t="shared" si="19"/>
        <v>0</v>
      </c>
      <c r="AF28" s="85">
        <f t="shared" si="19"/>
        <v>0</v>
      </c>
      <c r="AR28" s="86" t="s">
        <v>408</v>
      </c>
      <c r="AS28" s="87">
        <f t="shared" si="6"/>
        <v>-437.25236767902959</v>
      </c>
      <c r="AT28" s="87">
        <f t="shared" si="4"/>
        <v>-41.538974929507816</v>
      </c>
      <c r="AU28" s="88">
        <f t="shared" si="5"/>
        <v>-491.48683204637194</v>
      </c>
    </row>
    <row r="29" spans="2:47" ht="15.75" thickBot="1">
      <c r="B29" s="125" t="s">
        <v>457</v>
      </c>
      <c r="C29" s="122">
        <f>IF(C24&lt;0,0,IF(C24+C28&lt;0,C24,IF(C24+C28&gt;0,-C28)))</f>
        <v>0</v>
      </c>
      <c r="D29" s="122">
        <f t="shared" ref="D29:AF29" si="20">IF(D24&lt;0,0,IF(D24+D28&lt;0,D24,IF(D24+D28&gt;0,-D28)))</f>
        <v>0</v>
      </c>
      <c r="E29" s="122">
        <f t="shared" si="20"/>
        <v>0</v>
      </c>
      <c r="F29" s="122">
        <f t="shared" si="20"/>
        <v>0</v>
      </c>
      <c r="G29" s="122">
        <f t="shared" si="20"/>
        <v>0</v>
      </c>
      <c r="H29" s="122">
        <f t="shared" si="20"/>
        <v>0</v>
      </c>
      <c r="I29" s="122">
        <f t="shared" si="20"/>
        <v>0</v>
      </c>
      <c r="J29" s="122">
        <f t="shared" si="20"/>
        <v>20.079284986539996</v>
      </c>
      <c r="K29" s="122">
        <f t="shared" si="20"/>
        <v>0.69099459625390125</v>
      </c>
      <c r="L29" s="122">
        <f t="shared" si="20"/>
        <v>0</v>
      </c>
      <c r="M29" s="122">
        <f t="shared" si="20"/>
        <v>0</v>
      </c>
      <c r="N29" s="122">
        <f t="shared" si="20"/>
        <v>0</v>
      </c>
      <c r="O29" s="122">
        <f t="shared" si="20"/>
        <v>0</v>
      </c>
      <c r="P29" s="122">
        <f t="shared" si="20"/>
        <v>0</v>
      </c>
      <c r="Q29" s="122">
        <f t="shared" si="20"/>
        <v>0</v>
      </c>
      <c r="R29" s="122">
        <f t="shared" si="20"/>
        <v>0</v>
      </c>
      <c r="S29" s="122">
        <f t="shared" si="20"/>
        <v>0</v>
      </c>
      <c r="T29" s="122">
        <f t="shared" si="20"/>
        <v>0</v>
      </c>
      <c r="U29" s="122">
        <f t="shared" si="20"/>
        <v>0</v>
      </c>
      <c r="V29" s="122">
        <f t="shared" si="20"/>
        <v>0</v>
      </c>
      <c r="W29" s="122">
        <f t="shared" si="20"/>
        <v>0</v>
      </c>
      <c r="X29" s="122">
        <f t="shared" si="20"/>
        <v>0</v>
      </c>
      <c r="Y29" s="122">
        <f t="shared" si="20"/>
        <v>0</v>
      </c>
      <c r="Z29" s="122">
        <f t="shared" si="20"/>
        <v>0</v>
      </c>
      <c r="AA29" s="122">
        <f t="shared" si="20"/>
        <v>0</v>
      </c>
      <c r="AB29" s="122">
        <f t="shared" si="20"/>
        <v>0</v>
      </c>
      <c r="AC29" s="122">
        <f t="shared" si="20"/>
        <v>0</v>
      </c>
      <c r="AD29" s="122">
        <f t="shared" si="20"/>
        <v>0</v>
      </c>
      <c r="AE29" s="122">
        <f t="shared" si="20"/>
        <v>0</v>
      </c>
      <c r="AF29" s="129">
        <f t="shared" si="20"/>
        <v>0</v>
      </c>
      <c r="AR29" s="86" t="s">
        <v>409</v>
      </c>
      <c r="AS29" s="87">
        <f t="shared" si="6"/>
        <v>-491.48683204637194</v>
      </c>
      <c r="AT29" s="87">
        <f t="shared" si="4"/>
        <v>-46.691249044405332</v>
      </c>
      <c r="AU29" s="88">
        <f t="shared" si="5"/>
        <v>-550.87357052861171</v>
      </c>
    </row>
    <row r="30" spans="2:47" ht="15.75" thickBot="1">
      <c r="B30" s="126" t="s">
        <v>458</v>
      </c>
      <c r="C30" s="127">
        <f>C28+C29</f>
        <v>-4.6778905963190924</v>
      </c>
      <c r="D30" s="127">
        <f t="shared" ref="D30:AF30" si="21">D28+D29</f>
        <v>-8.8255461798308055</v>
      </c>
      <c r="E30" s="127">
        <f t="shared" si="21"/>
        <v>-12.421754345658108</v>
      </c>
      <c r="F30" s="127">
        <f t="shared" si="21"/>
        <v>-15.442714268219209</v>
      </c>
      <c r="G30" s="127">
        <f t="shared" si="21"/>
        <v>-17.861715682398042</v>
      </c>
      <c r="H30" s="127">
        <f t="shared" si="21"/>
        <v>-19.648782797496331</v>
      </c>
      <c r="I30" s="127">
        <f t="shared" si="21"/>
        <v>-20.770279582793897</v>
      </c>
      <c r="J30" s="127">
        <f t="shared" si="21"/>
        <v>-0.69099459625390125</v>
      </c>
      <c r="K30" s="127">
        <f t="shared" si="21"/>
        <v>0</v>
      </c>
      <c r="L30" s="127">
        <f t="shared" si="21"/>
        <v>0</v>
      </c>
      <c r="M30" s="127">
        <f t="shared" si="21"/>
        <v>0</v>
      </c>
      <c r="N30" s="127">
        <f t="shared" si="21"/>
        <v>0</v>
      </c>
      <c r="O30" s="127">
        <f t="shared" si="21"/>
        <v>0</v>
      </c>
      <c r="P30" s="127">
        <f t="shared" si="21"/>
        <v>0</v>
      </c>
      <c r="Q30" s="127">
        <f t="shared" si="21"/>
        <v>0</v>
      </c>
      <c r="R30" s="127">
        <f t="shared" si="21"/>
        <v>0</v>
      </c>
      <c r="S30" s="127">
        <f t="shared" si="21"/>
        <v>0</v>
      </c>
      <c r="T30" s="127">
        <f t="shared" si="21"/>
        <v>0</v>
      </c>
      <c r="U30" s="127">
        <f t="shared" si="21"/>
        <v>0</v>
      </c>
      <c r="V30" s="127">
        <f t="shared" si="21"/>
        <v>0</v>
      </c>
      <c r="W30" s="127">
        <f t="shared" si="21"/>
        <v>0</v>
      </c>
      <c r="X30" s="127">
        <f t="shared" si="21"/>
        <v>0</v>
      </c>
      <c r="Y30" s="127">
        <f t="shared" si="21"/>
        <v>0</v>
      </c>
      <c r="Z30" s="127">
        <f t="shared" si="21"/>
        <v>0</v>
      </c>
      <c r="AA30" s="127">
        <f t="shared" si="21"/>
        <v>0</v>
      </c>
      <c r="AB30" s="127">
        <f t="shared" si="21"/>
        <v>0</v>
      </c>
      <c r="AC30" s="127">
        <f t="shared" si="21"/>
        <v>0</v>
      </c>
      <c r="AD30" s="127">
        <f t="shared" si="21"/>
        <v>0</v>
      </c>
      <c r="AE30" s="127">
        <f t="shared" si="21"/>
        <v>0</v>
      </c>
      <c r="AF30" s="130">
        <f t="shared" si="21"/>
        <v>0</v>
      </c>
      <c r="AR30" s="86" t="s">
        <v>410</v>
      </c>
      <c r="AS30" s="87">
        <f t="shared" si="6"/>
        <v>-550.87357052861171</v>
      </c>
      <c r="AT30" s="87">
        <f t="shared" si="4"/>
        <v>-52.332989200218108</v>
      </c>
      <c r="AU30" s="88">
        <f t="shared" si="5"/>
        <v>-615.90204916666426</v>
      </c>
    </row>
    <row r="31" spans="2:47" ht="15.75" thickBot="1">
      <c r="B31" s="96" t="s">
        <v>427</v>
      </c>
      <c r="C31" s="84">
        <f>IF(C24&lt;0,0,IF(C24&gt;0,-(C24-C29)*$G$2/100))</f>
        <v>0</v>
      </c>
      <c r="D31" s="84">
        <f t="shared" ref="D31:AP31" si="22">IF(D24&lt;0,0,IF(D24&gt;0,-(D24-D29)*$G$2/100))</f>
        <v>0</v>
      </c>
      <c r="E31" s="84">
        <f t="shared" si="22"/>
        <v>0</v>
      </c>
      <c r="F31" s="84">
        <f t="shared" si="22"/>
        <v>0</v>
      </c>
      <c r="G31" s="84">
        <f t="shared" si="22"/>
        <v>0</v>
      </c>
      <c r="H31" s="84">
        <f t="shared" si="22"/>
        <v>0</v>
      </c>
      <c r="I31" s="84">
        <f t="shared" si="22"/>
        <v>0</v>
      </c>
      <c r="J31" s="84">
        <f t="shared" si="22"/>
        <v>0</v>
      </c>
      <c r="K31" s="84">
        <f t="shared" si="22"/>
        <v>-7.9528941910167283</v>
      </c>
      <c r="L31" s="84">
        <f t="shared" si="22"/>
        <v>-8.5390923037059085</v>
      </c>
      <c r="M31" s="84">
        <f t="shared" si="22"/>
        <v>-8.8733385817625177</v>
      </c>
      <c r="N31" s="84">
        <f t="shared" si="22"/>
        <v>-8.7546915392720948</v>
      </c>
      <c r="O31" s="84">
        <f t="shared" si="22"/>
        <v>-8.6170911975091951</v>
      </c>
      <c r="P31" s="84">
        <f t="shared" si="22"/>
        <v>-8.4593532019757838</v>
      </c>
      <c r="Q31" s="84">
        <f t="shared" si="22"/>
        <v>-8.2802330373180286</v>
      </c>
      <c r="R31" s="84">
        <f t="shared" si="22"/>
        <v>-8.0784232372918652</v>
      </c>
      <c r="S31" s="84">
        <f t="shared" si="22"/>
        <v>-7.8525504716190593</v>
      </c>
      <c r="T31" s="84">
        <f t="shared" si="22"/>
        <v>-7.6011725044644347</v>
      </c>
      <c r="U31" s="84">
        <f t="shared" si="22"/>
        <v>-7.3227750190430223</v>
      </c>
      <c r="V31" s="84">
        <f t="shared" si="22"/>
        <v>-7.0157683026367703</v>
      </c>
      <c r="W31" s="84">
        <f t="shared" si="22"/>
        <v>-6.678483786059231</v>
      </c>
      <c r="X31" s="84">
        <f t="shared" si="22"/>
        <v>-6.3091704313580719</v>
      </c>
      <c r="Y31" s="84">
        <f t="shared" si="22"/>
        <v>-5.905990961284596</v>
      </c>
      <c r="Z31" s="84">
        <f t="shared" si="22"/>
        <v>-5.4670179237883545</v>
      </c>
      <c r="AA31" s="84">
        <f t="shared" si="22"/>
        <v>-4.9902295845137941</v>
      </c>
      <c r="AB31" s="84">
        <f t="shared" si="22"/>
        <v>-4.4735056399814752</v>
      </c>
      <c r="AC31" s="84">
        <f t="shared" si="22"/>
        <v>-3.9146227438305199</v>
      </c>
      <c r="AD31" s="84">
        <f t="shared" si="22"/>
        <v>-3.3112498381809701</v>
      </c>
      <c r="AE31" s="84">
        <f t="shared" si="22"/>
        <v>-2.6609432818433665</v>
      </c>
      <c r="AF31" s="85">
        <f t="shared" si="22"/>
        <v>-1.961141766756312</v>
      </c>
      <c r="AG31" s="85">
        <f t="shared" si="22"/>
        <v>-1.2091610136749771</v>
      </c>
      <c r="AH31" s="85">
        <f t="shared" si="22"/>
        <v>-0.40218823775784684</v>
      </c>
      <c r="AI31" s="85">
        <f t="shared" si="22"/>
        <v>0</v>
      </c>
      <c r="AJ31" s="85">
        <f t="shared" si="22"/>
        <v>0</v>
      </c>
      <c r="AK31" s="85">
        <f t="shared" si="22"/>
        <v>0</v>
      </c>
      <c r="AL31" s="85">
        <f t="shared" si="22"/>
        <v>0</v>
      </c>
      <c r="AM31" s="85">
        <f t="shared" si="22"/>
        <v>0</v>
      </c>
      <c r="AN31" s="85">
        <f t="shared" si="22"/>
        <v>0</v>
      </c>
      <c r="AO31" s="85">
        <f t="shared" si="22"/>
        <v>0</v>
      </c>
      <c r="AP31" s="85">
        <f t="shared" si="22"/>
        <v>0</v>
      </c>
      <c r="AR31" s="86" t="s">
        <v>411</v>
      </c>
      <c r="AS31" s="87">
        <f t="shared" si="6"/>
        <v>-615.90204916666426</v>
      </c>
      <c r="AT31" s="87">
        <f>AS31*$C$5/100</f>
        <v>-58.510694670833111</v>
      </c>
      <c r="AU31" s="88">
        <f>AS31+AT31-$C$7</f>
        <v>-687.10823327533183</v>
      </c>
    </row>
    <row r="32" spans="2:47">
      <c r="B32" s="27" t="s">
        <v>428</v>
      </c>
      <c r="C32" s="84">
        <f t="shared" ref="C32:AP32" si="23">C20+C31</f>
        <v>10.696777226292213</v>
      </c>
      <c r="D32" s="84">
        <f t="shared" si="23"/>
        <v>10.740345280001733</v>
      </c>
      <c r="E32" s="84">
        <f t="shared" si="23"/>
        <v>10.758892377473984</v>
      </c>
      <c r="F32" s="84">
        <f t="shared" si="23"/>
        <v>10.750614770107873</v>
      </c>
      <c r="G32" s="84">
        <f t="shared" si="23"/>
        <v>10.713612472047757</v>
      </c>
      <c r="H32" s="84">
        <f t="shared" si="23"/>
        <v>10.645884688073892</v>
      </c>
      <c r="I32" s="84">
        <f t="shared" si="23"/>
        <v>10.545325036930038</v>
      </c>
      <c r="J32" s="84">
        <f t="shared" si="23"/>
        <v>10.409716561255024</v>
      </c>
      <c r="K32" s="84">
        <f t="shared" si="23"/>
        <v>2.2838323238962737</v>
      </c>
      <c r="L32" s="84">
        <f t="shared" si="23"/>
        <v>1.4848086144222403</v>
      </c>
      <c r="M32" s="84">
        <f t="shared" si="23"/>
        <v>13.590809726497021</v>
      </c>
      <c r="N32" s="84">
        <f t="shared" si="23"/>
        <v>13.409084509518017</v>
      </c>
      <c r="O32" s="84">
        <f t="shared" si="23"/>
        <v>13.198329555678642</v>
      </c>
      <c r="P32" s="84">
        <f t="shared" si="23"/>
        <v>12.956730853659113</v>
      </c>
      <c r="Q32" s="84">
        <f t="shared" si="23"/>
        <v>12.682382247031411</v>
      </c>
      <c r="R32" s="84">
        <f t="shared" si="23"/>
        <v>12.37328116091539</v>
      </c>
      <c r="S32" s="84">
        <f t="shared" si="23"/>
        <v>12.027324140074763</v>
      </c>
      <c r="T32" s="84">
        <f t="shared" si="23"/>
        <v>11.642302190382233</v>
      </c>
      <c r="U32" s="84">
        <f t="shared" si="23"/>
        <v>11.215895915243109</v>
      </c>
      <c r="V32" s="84">
        <f t="shared" si="23"/>
        <v>10.745670438215813</v>
      </c>
      <c r="W32" s="84">
        <f t="shared" si="23"/>
        <v>10.229070102698316</v>
      </c>
      <c r="X32" s="84">
        <f t="shared" si="23"/>
        <v>9.6634129391686905</v>
      </c>
      <c r="Y32" s="84">
        <f t="shared" si="23"/>
        <v>9.0458848900688107</v>
      </c>
      <c r="Z32" s="84">
        <f t="shared" si="23"/>
        <v>8.373533782004948</v>
      </c>
      <c r="AA32" s="84">
        <f t="shared" si="23"/>
        <v>7.6432630345084691</v>
      </c>
      <c r="AB32" s="84">
        <f t="shared" si="23"/>
        <v>6.8518250941488432</v>
      </c>
      <c r="AC32" s="84">
        <f t="shared" si="23"/>
        <v>5.9958145823226943</v>
      </c>
      <c r="AD32" s="84">
        <f t="shared" si="23"/>
        <v>5.0716611445556623</v>
      </c>
      <c r="AE32" s="84">
        <f t="shared" si="23"/>
        <v>4.0756219886461693</v>
      </c>
      <c r="AF32" s="85">
        <f t="shared" si="23"/>
        <v>3.0037740984495409</v>
      </c>
      <c r="AG32" s="85">
        <f t="shared" si="23"/>
        <v>1.8520061095528129</v>
      </c>
      <c r="AH32" s="85">
        <f t="shared" si="23"/>
        <v>0.61600983251518315</v>
      </c>
      <c r="AI32" s="85">
        <f t="shared" si="23"/>
        <v>-1.171452216936558</v>
      </c>
      <c r="AJ32" s="85">
        <f t="shared" si="23"/>
        <v>-3.5155998619350441</v>
      </c>
      <c r="AK32" s="85">
        <f t="shared" si="23"/>
        <v>-6.0224320994231846</v>
      </c>
      <c r="AL32" s="85">
        <f t="shared" si="23"/>
        <v>-8.7005238737011155</v>
      </c>
      <c r="AM32" s="85">
        <f t="shared" si="23"/>
        <v>-11.558855153659181</v>
      </c>
      <c r="AN32" s="85">
        <f t="shared" si="23"/>
        <v>-14.606828994566001</v>
      </c>
      <c r="AO32" s="85">
        <f t="shared" si="23"/>
        <v>-17.854290378151688</v>
      </c>
      <c r="AP32" s="85">
        <f t="shared" si="23"/>
        <v>-21.311545863794947</v>
      </c>
    </row>
    <row r="33" spans="2:42">
      <c r="B33" s="27" t="s">
        <v>422</v>
      </c>
      <c r="C33" s="84">
        <f>G4</f>
        <v>2.5897710299985737</v>
      </c>
      <c r="D33" s="84">
        <f t="shared" ref="D33:AP33" si="24">$G$4*(1+$E$9/100)^(D16-$C$16)</f>
        <v>2.6674641608985308</v>
      </c>
      <c r="E33" s="84">
        <f t="shared" si="24"/>
        <v>2.7474880857254869</v>
      </c>
      <c r="F33" s="84">
        <f t="shared" si="24"/>
        <v>2.8299127282972516</v>
      </c>
      <c r="G33" s="84">
        <f t="shared" si="24"/>
        <v>2.9148101101461688</v>
      </c>
      <c r="H33" s="84">
        <f t="shared" si="24"/>
        <v>3.0022544134505535</v>
      </c>
      <c r="I33" s="84">
        <f t="shared" si="24"/>
        <v>3.0923220458540706</v>
      </c>
      <c r="J33" s="84">
        <f t="shared" si="24"/>
        <v>3.1850917072296929</v>
      </c>
      <c r="K33" s="84">
        <f t="shared" si="24"/>
        <v>3.280644458446583</v>
      </c>
      <c r="L33" s="84">
        <f t="shared" si="24"/>
        <v>3.3790637921999807</v>
      </c>
      <c r="M33" s="84">
        <f t="shared" si="24"/>
        <v>3.4804357059659803</v>
      </c>
      <c r="N33" s="84">
        <f t="shared" si="24"/>
        <v>3.5848487771449595</v>
      </c>
      <c r="O33" s="84">
        <f t="shared" si="24"/>
        <v>3.6923942404593078</v>
      </c>
      <c r="P33" s="84">
        <f t="shared" si="24"/>
        <v>3.8031660676730867</v>
      </c>
      <c r="Q33" s="84">
        <f t="shared" si="24"/>
        <v>3.91726104970328</v>
      </c>
      <c r="R33" s="84">
        <f t="shared" si="24"/>
        <v>4.034778881194379</v>
      </c>
      <c r="S33" s="84">
        <f t="shared" si="24"/>
        <v>4.1558222476302094</v>
      </c>
      <c r="T33" s="84">
        <f t="shared" si="24"/>
        <v>4.2804969150591159</v>
      </c>
      <c r="U33" s="84">
        <f t="shared" si="24"/>
        <v>4.4089118225108894</v>
      </c>
      <c r="V33" s="84">
        <f t="shared" si="24"/>
        <v>4.5411791771862156</v>
      </c>
      <c r="W33" s="84">
        <f t="shared" si="24"/>
        <v>4.6774145525018023</v>
      </c>
      <c r="X33" s="84">
        <f t="shared" si="24"/>
        <v>4.8177369890768551</v>
      </c>
      <c r="Y33" s="84">
        <f t="shared" si="24"/>
        <v>4.9622690987491618</v>
      </c>
      <c r="Z33" s="84">
        <f t="shared" si="24"/>
        <v>5.1111371717116363</v>
      </c>
      <c r="AA33" s="84">
        <f t="shared" si="24"/>
        <v>5.2644712868629853</v>
      </c>
      <c r="AB33" s="84">
        <f t="shared" si="24"/>
        <v>5.4224054254688747</v>
      </c>
      <c r="AC33" s="84">
        <f t="shared" si="24"/>
        <v>5.5850775882329415</v>
      </c>
      <c r="AD33" s="84">
        <f t="shared" si="24"/>
        <v>5.752629915879929</v>
      </c>
      <c r="AE33" s="84">
        <f t="shared" si="24"/>
        <v>5.9252088133563268</v>
      </c>
      <c r="AF33" s="85">
        <f t="shared" si="24"/>
        <v>6.1029650777570161</v>
      </c>
      <c r="AG33" s="85">
        <f t="shared" si="24"/>
        <v>6.2860540300897263</v>
      </c>
      <c r="AH33" s="85">
        <f t="shared" si="24"/>
        <v>6.4746356509924192</v>
      </c>
      <c r="AI33" s="85">
        <f t="shared" si="24"/>
        <v>6.668874720522191</v>
      </c>
      <c r="AJ33" s="85">
        <f t="shared" si="24"/>
        <v>6.8689409621378568</v>
      </c>
      <c r="AK33" s="85">
        <f t="shared" si="24"/>
        <v>7.0750091910019917</v>
      </c>
      <c r="AL33" s="85">
        <f t="shared" si="24"/>
        <v>7.2872594667320527</v>
      </c>
      <c r="AM33" s="85">
        <f t="shared" si="24"/>
        <v>7.5058772507340139</v>
      </c>
      <c r="AN33" s="85">
        <f t="shared" si="24"/>
        <v>7.7310535682560326</v>
      </c>
      <c r="AO33" s="85">
        <f t="shared" si="24"/>
        <v>7.9629851753037135</v>
      </c>
      <c r="AP33" s="85">
        <f t="shared" si="24"/>
        <v>8.2018747305628263</v>
      </c>
    </row>
    <row r="34" spans="2:42">
      <c r="B34" s="27" t="s">
        <v>430</v>
      </c>
      <c r="C34" s="84">
        <f>C32+C33</f>
        <v>13.286548256290786</v>
      </c>
      <c r="D34" s="84">
        <f t="shared" ref="D34:AP34" si="25">D32+D33</f>
        <v>13.407809440900264</v>
      </c>
      <c r="E34" s="84">
        <f>E32+E33</f>
        <v>13.50638046319947</v>
      </c>
      <c r="F34" s="84">
        <f t="shared" si="25"/>
        <v>13.580527498405125</v>
      </c>
      <c r="G34" s="84">
        <f t="shared" si="25"/>
        <v>13.628422582193926</v>
      </c>
      <c r="H34" s="84">
        <f t="shared" si="25"/>
        <v>13.648139101524446</v>
      </c>
      <c r="I34" s="84">
        <f t="shared" si="25"/>
        <v>13.637647082784108</v>
      </c>
      <c r="J34" s="84">
        <f t="shared" si="25"/>
        <v>13.594808268484718</v>
      </c>
      <c r="K34" s="84">
        <f t="shared" si="25"/>
        <v>5.5644767823428563</v>
      </c>
      <c r="L34" s="84">
        <f t="shared" si="25"/>
        <v>4.863872406622221</v>
      </c>
      <c r="M34" s="84">
        <f t="shared" si="25"/>
        <v>17.071245432463002</v>
      </c>
      <c r="N34" s="84">
        <f t="shared" si="25"/>
        <v>16.993933286662976</v>
      </c>
      <c r="O34" s="84">
        <f t="shared" si="25"/>
        <v>16.890723796137948</v>
      </c>
      <c r="P34" s="84">
        <f t="shared" si="25"/>
        <v>16.759896921332199</v>
      </c>
      <c r="Q34" s="84">
        <f t="shared" si="25"/>
        <v>16.599643296734691</v>
      </c>
      <c r="R34" s="84">
        <f t="shared" si="25"/>
        <v>16.408060042109767</v>
      </c>
      <c r="S34" s="84">
        <f t="shared" si="25"/>
        <v>16.183146387704973</v>
      </c>
      <c r="T34" s="84">
        <f t="shared" si="25"/>
        <v>15.922799105441349</v>
      </c>
      <c r="U34" s="84">
        <f t="shared" si="25"/>
        <v>15.624807737753999</v>
      </c>
      <c r="V34" s="84">
        <f t="shared" si="25"/>
        <v>15.286849615402028</v>
      </c>
      <c r="W34" s="84">
        <f t="shared" si="25"/>
        <v>14.906484655200117</v>
      </c>
      <c r="X34" s="84">
        <f t="shared" si="25"/>
        <v>14.481149928245546</v>
      </c>
      <c r="Y34" s="84">
        <f t="shared" si="25"/>
        <v>14.008153988817973</v>
      </c>
      <c r="Z34" s="84">
        <f t="shared" si="25"/>
        <v>13.484670953716584</v>
      </c>
      <c r="AA34" s="84">
        <f t="shared" si="25"/>
        <v>12.907734321371453</v>
      </c>
      <c r="AB34" s="84">
        <f t="shared" si="25"/>
        <v>12.274230519617717</v>
      </c>
      <c r="AC34" s="84">
        <f t="shared" si="25"/>
        <v>11.580892170555636</v>
      </c>
      <c r="AD34" s="84">
        <f t="shared" si="25"/>
        <v>10.824291060435591</v>
      </c>
      <c r="AE34" s="84">
        <f t="shared" si="25"/>
        <v>10.000830802002497</v>
      </c>
      <c r="AF34" s="85">
        <f t="shared" si="25"/>
        <v>9.1067391762065562</v>
      </c>
      <c r="AG34" s="85">
        <f t="shared" si="25"/>
        <v>8.1380601396425387</v>
      </c>
      <c r="AH34" s="85">
        <f t="shared" si="25"/>
        <v>7.0906454835076023</v>
      </c>
      <c r="AI34" s="85">
        <f t="shared" si="25"/>
        <v>5.497422503585633</v>
      </c>
      <c r="AJ34" s="85">
        <f t="shared" si="25"/>
        <v>3.3533411002028126</v>
      </c>
      <c r="AK34" s="85">
        <f t="shared" si="25"/>
        <v>1.0525770915788071</v>
      </c>
      <c r="AL34" s="85">
        <f t="shared" si="25"/>
        <v>-1.4132644069690627</v>
      </c>
      <c r="AM34" s="85">
        <f t="shared" si="25"/>
        <v>-4.0529779029251669</v>
      </c>
      <c r="AN34" s="85">
        <f t="shared" si="25"/>
        <v>-6.8757754263099686</v>
      </c>
      <c r="AO34" s="85">
        <f t="shared" si="25"/>
        <v>-9.891305202847974</v>
      </c>
      <c r="AP34" s="85">
        <f t="shared" si="25"/>
        <v>-13.109671133232121</v>
      </c>
    </row>
    <row r="35" spans="2:42">
      <c r="B35" s="27" t="s">
        <v>431</v>
      </c>
      <c r="C35" s="84">
        <f>C34-E4</f>
        <v>-66.425865870735791</v>
      </c>
      <c r="D35" s="84">
        <f>D34</f>
        <v>13.407809440900264</v>
      </c>
      <c r="E35" s="84">
        <f>E34</f>
        <v>13.50638046319947</v>
      </c>
      <c r="F35" s="84">
        <f t="shared" ref="F35:AP35" si="26">F34</f>
        <v>13.580527498405125</v>
      </c>
      <c r="G35" s="84">
        <f t="shared" si="26"/>
        <v>13.628422582193926</v>
      </c>
      <c r="H35" s="84">
        <f t="shared" si="26"/>
        <v>13.648139101524446</v>
      </c>
      <c r="I35" s="84">
        <f t="shared" si="26"/>
        <v>13.637647082784108</v>
      </c>
      <c r="J35" s="84">
        <f t="shared" si="26"/>
        <v>13.594808268484718</v>
      </c>
      <c r="K35" s="84">
        <f t="shared" si="26"/>
        <v>5.5644767823428563</v>
      </c>
      <c r="L35" s="84">
        <f t="shared" si="26"/>
        <v>4.863872406622221</v>
      </c>
      <c r="M35" s="84">
        <f t="shared" si="26"/>
        <v>17.071245432463002</v>
      </c>
      <c r="N35" s="84">
        <f t="shared" si="26"/>
        <v>16.993933286662976</v>
      </c>
      <c r="O35" s="84">
        <f t="shared" si="26"/>
        <v>16.890723796137948</v>
      </c>
      <c r="P35" s="84">
        <f t="shared" si="26"/>
        <v>16.759896921332199</v>
      </c>
      <c r="Q35" s="84">
        <f t="shared" si="26"/>
        <v>16.599643296734691</v>
      </c>
      <c r="R35" s="84">
        <f t="shared" si="26"/>
        <v>16.408060042109767</v>
      </c>
      <c r="S35" s="84">
        <f t="shared" si="26"/>
        <v>16.183146387704973</v>
      </c>
      <c r="T35" s="84">
        <f t="shared" si="26"/>
        <v>15.922799105441349</v>
      </c>
      <c r="U35" s="84">
        <f t="shared" si="26"/>
        <v>15.624807737753999</v>
      </c>
      <c r="V35" s="84">
        <f t="shared" si="26"/>
        <v>15.286849615402028</v>
      </c>
      <c r="W35" s="84">
        <f t="shared" si="26"/>
        <v>14.906484655200117</v>
      </c>
      <c r="X35" s="84">
        <f t="shared" si="26"/>
        <v>14.481149928245546</v>
      </c>
      <c r="Y35" s="84">
        <f t="shared" si="26"/>
        <v>14.008153988817973</v>
      </c>
      <c r="Z35" s="84">
        <f t="shared" si="26"/>
        <v>13.484670953716584</v>
      </c>
      <c r="AA35" s="84">
        <f t="shared" si="26"/>
        <v>12.907734321371453</v>
      </c>
      <c r="AB35" s="84">
        <f t="shared" si="26"/>
        <v>12.274230519617717</v>
      </c>
      <c r="AC35" s="84">
        <f t="shared" si="26"/>
        <v>11.580892170555636</v>
      </c>
      <c r="AD35" s="84">
        <f t="shared" si="26"/>
        <v>10.824291060435591</v>
      </c>
      <c r="AE35" s="84">
        <f t="shared" si="26"/>
        <v>10.000830802002497</v>
      </c>
      <c r="AF35" s="85">
        <f t="shared" si="26"/>
        <v>9.1067391762065562</v>
      </c>
      <c r="AG35" s="85">
        <f t="shared" si="26"/>
        <v>8.1380601396425387</v>
      </c>
      <c r="AH35" s="85">
        <f t="shared" si="26"/>
        <v>7.0906454835076023</v>
      </c>
      <c r="AI35" s="85">
        <f t="shared" si="26"/>
        <v>5.497422503585633</v>
      </c>
      <c r="AJ35" s="85">
        <f t="shared" si="26"/>
        <v>3.3533411002028126</v>
      </c>
      <c r="AK35" s="85">
        <f t="shared" si="26"/>
        <v>1.0525770915788071</v>
      </c>
      <c r="AL35" s="85">
        <f t="shared" si="26"/>
        <v>-1.4132644069690627</v>
      </c>
      <c r="AM35" s="85">
        <f t="shared" si="26"/>
        <v>-4.0529779029251669</v>
      </c>
      <c r="AN35" s="85">
        <f t="shared" si="26"/>
        <v>-6.8757754263099686</v>
      </c>
      <c r="AO35" s="85">
        <f t="shared" si="26"/>
        <v>-9.891305202847974</v>
      </c>
      <c r="AP35" s="85">
        <f t="shared" si="26"/>
        <v>-13.109671133232121</v>
      </c>
    </row>
    <row r="36" spans="2:42">
      <c r="B36" s="27" t="s">
        <v>432</v>
      </c>
      <c r="C36" s="84">
        <f>C35</f>
        <v>-66.425865870735791</v>
      </c>
      <c r="D36" s="84">
        <f t="shared" ref="D36:AP36" si="27">D35/(1+$E$5/100)^(D16-$C$16)</f>
        <v>11.658964731217623</v>
      </c>
      <c r="E36" s="84">
        <f t="shared" si="27"/>
        <v>10.212764055349318</v>
      </c>
      <c r="F36" s="84">
        <f t="shared" si="27"/>
        <v>8.9294172751903531</v>
      </c>
      <c r="G36" s="84">
        <f t="shared" si="27"/>
        <v>7.7920948436827659</v>
      </c>
      <c r="H36" s="84">
        <f t="shared" si="27"/>
        <v>6.7855372413928592</v>
      </c>
      <c r="I36" s="84">
        <f t="shared" si="27"/>
        <v>5.8959311771903042</v>
      </c>
      <c r="J36" s="84">
        <f t="shared" si="27"/>
        <v>5.1107919787761293</v>
      </c>
      <c r="K36" s="84">
        <f t="shared" si="27"/>
        <v>1.8190373306736944</v>
      </c>
      <c r="L36" s="84">
        <f t="shared" si="27"/>
        <v>1.382616102161941</v>
      </c>
      <c r="M36" s="84">
        <f t="shared" si="27"/>
        <v>4.2197507853576122</v>
      </c>
      <c r="N36" s="84">
        <f t="shared" si="27"/>
        <v>3.6527307872333759</v>
      </c>
      <c r="O36" s="84">
        <f t="shared" si="27"/>
        <v>3.1569970493262507</v>
      </c>
      <c r="P36" s="84">
        <f t="shared" si="27"/>
        <v>2.723951800859548</v>
      </c>
      <c r="Q36" s="84">
        <f t="shared" si="27"/>
        <v>2.3460053101760878</v>
      </c>
      <c r="R36" s="84">
        <f t="shared" si="27"/>
        <v>2.0164600920933315</v>
      </c>
      <c r="S36" s="84">
        <f t="shared" si="27"/>
        <v>1.7294082124518295</v>
      </c>
      <c r="T36" s="84">
        <f t="shared" si="27"/>
        <v>1.4796402261559225</v>
      </c>
      <c r="U36" s="84">
        <f t="shared" si="27"/>
        <v>1.262564447021377</v>
      </c>
      <c r="V36" s="84">
        <f t="shared" si="27"/>
        <v>1.074135391966855</v>
      </c>
      <c r="W36" s="84">
        <f t="shared" si="27"/>
        <v>0.91079037045580313</v>
      </c>
      <c r="X36" s="84">
        <f t="shared" si="27"/>
        <v>0.7693933043441521</v>
      </c>
      <c r="Y36" s="84">
        <f t="shared" si="27"/>
        <v>0.64718496495954725</v>
      </c>
      <c r="Z36" s="84">
        <f t="shared" si="27"/>
        <v>0.54173890470529074</v>
      </c>
      <c r="AA36" s="84">
        <f t="shared" si="27"/>
        <v>0.45092244097260847</v>
      </c>
      <c r="AB36" s="84">
        <f t="shared" si="27"/>
        <v>0.37286212175046313</v>
      </c>
      <c r="AC36" s="84">
        <f t="shared" si="27"/>
        <v>0.30591316601672697</v>
      </c>
      <c r="AD36" s="84">
        <f t="shared" si="27"/>
        <v>0.24863242864553514</v>
      </c>
      <c r="AE36" s="84">
        <f t="shared" si="27"/>
        <v>0.19975448994599546</v>
      </c>
      <c r="AF36" s="85">
        <f t="shared" si="27"/>
        <v>0.15817051474581831</v>
      </c>
      <c r="AG36" s="85">
        <f t="shared" si="27"/>
        <v>0.12290956576353194</v>
      </c>
      <c r="AH36" s="85">
        <f t="shared" si="27"/>
        <v>9.3122091421071793E-2</v>
      </c>
      <c r="AI36" s="85">
        <f t="shared" si="27"/>
        <v>6.2780999355434214E-2</v>
      </c>
      <c r="AJ36" s="85">
        <f t="shared" si="27"/>
        <v>3.3300365495485353E-2</v>
      </c>
      <c r="AK36" s="85">
        <f t="shared" si="27"/>
        <v>9.0892352003484073E-3</v>
      </c>
      <c r="AL36" s="85">
        <f t="shared" si="27"/>
        <v>-1.0612043194203355E-2</v>
      </c>
      <c r="AM36" s="85">
        <f t="shared" si="27"/>
        <v>-2.646378644265724E-2</v>
      </c>
      <c r="AN36" s="85">
        <f t="shared" si="27"/>
        <v>-3.9039261215210536E-2</v>
      </c>
      <c r="AO36" s="85">
        <f t="shared" si="27"/>
        <v>-4.8835503429438785E-2</v>
      </c>
      <c r="AP36" s="85">
        <f t="shared" si="27"/>
        <v>-5.6282842570923114E-2</v>
      </c>
    </row>
    <row r="37" spans="2:42" ht="15.75" thickBot="1">
      <c r="B37" s="29" t="s">
        <v>433</v>
      </c>
      <c r="C37" s="87">
        <f>C36</f>
        <v>-66.425865870735791</v>
      </c>
      <c r="D37" s="87">
        <f>C37+D36</f>
        <v>-54.766901139518168</v>
      </c>
      <c r="E37" s="87">
        <f t="shared" ref="E37:AF37" si="28">D37+E36</f>
        <v>-44.55413708416885</v>
      </c>
      <c r="F37" s="87">
        <f t="shared" si="28"/>
        <v>-35.624719808978497</v>
      </c>
      <c r="G37" s="87">
        <f t="shared" si="28"/>
        <v>-27.832624965295732</v>
      </c>
      <c r="H37" s="87">
        <f t="shared" si="28"/>
        <v>-21.047087723902873</v>
      </c>
      <c r="I37" s="87">
        <f t="shared" si="28"/>
        <v>-15.151156546712569</v>
      </c>
      <c r="J37" s="87">
        <f t="shared" si="28"/>
        <v>-10.040364567936439</v>
      </c>
      <c r="K37" s="87">
        <f t="shared" si="28"/>
        <v>-8.2213272372627451</v>
      </c>
      <c r="L37" s="87">
        <f t="shared" si="28"/>
        <v>-6.8387111351008043</v>
      </c>
      <c r="M37" s="87">
        <f t="shared" si="28"/>
        <v>-2.6189603497431921</v>
      </c>
      <c r="N37" s="87">
        <f t="shared" si="28"/>
        <v>1.0337704374901837</v>
      </c>
      <c r="O37" s="87">
        <f t="shared" si="28"/>
        <v>4.1907674868164344</v>
      </c>
      <c r="P37" s="87">
        <f t="shared" si="28"/>
        <v>6.9147192876759824</v>
      </c>
      <c r="Q37" s="87">
        <f t="shared" si="28"/>
        <v>9.2607245978520698</v>
      </c>
      <c r="R37" s="87">
        <f t="shared" si="28"/>
        <v>11.2771846899454</v>
      </c>
      <c r="S37" s="87">
        <f t="shared" si="28"/>
        <v>13.00659290239723</v>
      </c>
      <c r="T37" s="87">
        <f t="shared" si="28"/>
        <v>14.486233128553152</v>
      </c>
      <c r="U37" s="87">
        <f t="shared" si="28"/>
        <v>15.74879757557453</v>
      </c>
      <c r="V37" s="87">
        <f t="shared" si="28"/>
        <v>16.822932967541384</v>
      </c>
      <c r="W37" s="87">
        <f t="shared" si="28"/>
        <v>17.733723337997187</v>
      </c>
      <c r="X37" s="87">
        <f t="shared" si="28"/>
        <v>18.50311664234134</v>
      </c>
      <c r="Y37" s="87">
        <f t="shared" si="28"/>
        <v>19.150301607300886</v>
      </c>
      <c r="Z37" s="87">
        <f t="shared" si="28"/>
        <v>19.692040512006177</v>
      </c>
      <c r="AA37" s="87">
        <f t="shared" si="28"/>
        <v>20.142962952978785</v>
      </c>
      <c r="AB37" s="87">
        <f t="shared" si="28"/>
        <v>20.515825074729246</v>
      </c>
      <c r="AC37" s="87">
        <f t="shared" si="28"/>
        <v>20.821738240745972</v>
      </c>
      <c r="AD37" s="87">
        <f t="shared" si="28"/>
        <v>21.070370669391508</v>
      </c>
      <c r="AE37" s="87">
        <f t="shared" si="28"/>
        <v>21.270125159337503</v>
      </c>
      <c r="AF37" s="88">
        <f t="shared" si="28"/>
        <v>21.428295674083323</v>
      </c>
      <c r="AG37" s="88">
        <f t="shared" ref="AG37" si="29">AF37+AG36</f>
        <v>21.551205239846855</v>
      </c>
      <c r="AH37" s="88">
        <f t="shared" ref="AH37" si="30">AG37+AH36</f>
        <v>21.644327331267927</v>
      </c>
      <c r="AI37" s="88">
        <f t="shared" ref="AI37" si="31">AH37+AI36</f>
        <v>21.707108330623363</v>
      </c>
      <c r="AJ37" s="88">
        <f t="shared" ref="AJ37" si="32">AI37+AJ36</f>
        <v>21.740408696118848</v>
      </c>
      <c r="AK37" s="88">
        <f t="shared" ref="AK37" si="33">AJ37+AK36</f>
        <v>21.749497931319198</v>
      </c>
      <c r="AL37" s="88">
        <f t="shared" ref="AL37" si="34">AK37+AL36</f>
        <v>21.738885888124994</v>
      </c>
      <c r="AM37" s="88">
        <f t="shared" ref="AM37" si="35">AL37+AM36</f>
        <v>21.712422101682336</v>
      </c>
      <c r="AN37" s="88">
        <f t="shared" ref="AN37" si="36">AM37+AN36</f>
        <v>21.673382840467124</v>
      </c>
      <c r="AO37" s="88">
        <f t="shared" ref="AO37" si="37">AN37+AO36</f>
        <v>21.624547337037686</v>
      </c>
      <c r="AP37" s="88">
        <f t="shared" ref="AP37" si="38">AO37+AP36</f>
        <v>21.568264494466764</v>
      </c>
    </row>
    <row r="38" spans="2:42">
      <c r="B38" s="25" t="s">
        <v>430</v>
      </c>
      <c r="C38" s="81">
        <f>C32</f>
        <v>10.696777226292213</v>
      </c>
      <c r="D38" s="81">
        <f t="shared" ref="D38:AF38" si="39">D32</f>
        <v>10.740345280001733</v>
      </c>
      <c r="E38" s="81">
        <f t="shared" si="39"/>
        <v>10.758892377473984</v>
      </c>
      <c r="F38" s="81">
        <f t="shared" si="39"/>
        <v>10.750614770107873</v>
      </c>
      <c r="G38" s="81">
        <f t="shared" si="39"/>
        <v>10.713612472047757</v>
      </c>
      <c r="H38" s="81">
        <f t="shared" si="39"/>
        <v>10.645884688073892</v>
      </c>
      <c r="I38" s="81">
        <f t="shared" si="39"/>
        <v>10.545325036930038</v>
      </c>
      <c r="J38" s="81">
        <f t="shared" si="39"/>
        <v>10.409716561255024</v>
      </c>
      <c r="K38" s="81">
        <f t="shared" si="39"/>
        <v>2.2838323238962737</v>
      </c>
      <c r="L38" s="81">
        <f t="shared" si="39"/>
        <v>1.4848086144222403</v>
      </c>
      <c r="M38" s="81">
        <f t="shared" si="39"/>
        <v>13.590809726497021</v>
      </c>
      <c r="N38" s="81">
        <f t="shared" si="39"/>
        <v>13.409084509518017</v>
      </c>
      <c r="O38" s="81">
        <f t="shared" si="39"/>
        <v>13.198329555678642</v>
      </c>
      <c r="P38" s="81">
        <f t="shared" si="39"/>
        <v>12.956730853659113</v>
      </c>
      <c r="Q38" s="81">
        <f t="shared" si="39"/>
        <v>12.682382247031411</v>
      </c>
      <c r="R38" s="81">
        <f t="shared" si="39"/>
        <v>12.37328116091539</v>
      </c>
      <c r="S38" s="81">
        <f t="shared" si="39"/>
        <v>12.027324140074763</v>
      </c>
      <c r="T38" s="81">
        <f t="shared" si="39"/>
        <v>11.642302190382233</v>
      </c>
      <c r="U38" s="81">
        <f t="shared" si="39"/>
        <v>11.215895915243109</v>
      </c>
      <c r="V38" s="81">
        <f t="shared" si="39"/>
        <v>10.745670438215813</v>
      </c>
      <c r="W38" s="81">
        <f t="shared" si="39"/>
        <v>10.229070102698316</v>
      </c>
      <c r="X38" s="81">
        <f t="shared" si="39"/>
        <v>9.6634129391686905</v>
      </c>
      <c r="Y38" s="81">
        <f t="shared" si="39"/>
        <v>9.0458848900688107</v>
      </c>
      <c r="Z38" s="81">
        <f t="shared" si="39"/>
        <v>8.373533782004948</v>
      </c>
      <c r="AA38" s="81">
        <f t="shared" si="39"/>
        <v>7.6432630345084691</v>
      </c>
      <c r="AB38" s="81">
        <f t="shared" si="39"/>
        <v>6.8518250941488432</v>
      </c>
      <c r="AC38" s="81">
        <f t="shared" si="39"/>
        <v>5.9958145823226943</v>
      </c>
      <c r="AD38" s="81">
        <f t="shared" si="39"/>
        <v>5.0716611445556623</v>
      </c>
      <c r="AE38" s="81">
        <f t="shared" si="39"/>
        <v>4.0756219886461693</v>
      </c>
      <c r="AF38" s="82">
        <f t="shared" si="39"/>
        <v>3.0037740984495409</v>
      </c>
    </row>
    <row r="39" spans="2:42">
      <c r="B39" s="27" t="s">
        <v>431</v>
      </c>
      <c r="C39" s="84">
        <f>C38-E4</f>
        <v>-69.015636900734364</v>
      </c>
      <c r="D39" s="84">
        <f>D38</f>
        <v>10.740345280001733</v>
      </c>
      <c r="E39" s="84">
        <f t="shared" ref="E39:AF39" si="40">E38</f>
        <v>10.758892377473984</v>
      </c>
      <c r="F39" s="84">
        <f t="shared" si="40"/>
        <v>10.750614770107873</v>
      </c>
      <c r="G39" s="84">
        <f t="shared" si="40"/>
        <v>10.713612472047757</v>
      </c>
      <c r="H39" s="84">
        <f t="shared" si="40"/>
        <v>10.645884688073892</v>
      </c>
      <c r="I39" s="84">
        <f t="shared" si="40"/>
        <v>10.545325036930038</v>
      </c>
      <c r="J39" s="84">
        <f t="shared" si="40"/>
        <v>10.409716561255024</v>
      </c>
      <c r="K39" s="84">
        <f t="shared" si="40"/>
        <v>2.2838323238962737</v>
      </c>
      <c r="L39" s="84">
        <f t="shared" si="40"/>
        <v>1.4848086144222403</v>
      </c>
      <c r="M39" s="84">
        <f t="shared" si="40"/>
        <v>13.590809726497021</v>
      </c>
      <c r="N39" s="84">
        <f t="shared" si="40"/>
        <v>13.409084509518017</v>
      </c>
      <c r="O39" s="84">
        <f t="shared" si="40"/>
        <v>13.198329555678642</v>
      </c>
      <c r="P39" s="84">
        <f t="shared" si="40"/>
        <v>12.956730853659113</v>
      </c>
      <c r="Q39" s="84">
        <f t="shared" si="40"/>
        <v>12.682382247031411</v>
      </c>
      <c r="R39" s="84">
        <f t="shared" si="40"/>
        <v>12.37328116091539</v>
      </c>
      <c r="S39" s="84">
        <f t="shared" si="40"/>
        <v>12.027324140074763</v>
      </c>
      <c r="T39" s="84">
        <f t="shared" si="40"/>
        <v>11.642302190382233</v>
      </c>
      <c r="U39" s="84">
        <f t="shared" si="40"/>
        <v>11.215895915243109</v>
      </c>
      <c r="V39" s="84">
        <f t="shared" si="40"/>
        <v>10.745670438215813</v>
      </c>
      <c r="W39" s="84">
        <f t="shared" si="40"/>
        <v>10.229070102698316</v>
      </c>
      <c r="X39" s="84">
        <f t="shared" si="40"/>
        <v>9.6634129391686905</v>
      </c>
      <c r="Y39" s="84">
        <f t="shared" si="40"/>
        <v>9.0458848900688107</v>
      </c>
      <c r="Z39" s="84">
        <f t="shared" si="40"/>
        <v>8.373533782004948</v>
      </c>
      <c r="AA39" s="84">
        <f t="shared" si="40"/>
        <v>7.6432630345084691</v>
      </c>
      <c r="AB39" s="84">
        <f t="shared" si="40"/>
        <v>6.8518250941488432</v>
      </c>
      <c r="AC39" s="84">
        <f t="shared" si="40"/>
        <v>5.9958145823226943</v>
      </c>
      <c r="AD39" s="84">
        <f t="shared" si="40"/>
        <v>5.0716611445556623</v>
      </c>
      <c r="AE39" s="84">
        <f t="shared" si="40"/>
        <v>4.0756219886461693</v>
      </c>
      <c r="AF39" s="85">
        <f t="shared" si="40"/>
        <v>3.0037740984495409</v>
      </c>
    </row>
    <row r="40" spans="2:42">
      <c r="B40" s="27" t="s">
        <v>432</v>
      </c>
      <c r="C40" s="84">
        <f>C39</f>
        <v>-69.015636900734364</v>
      </c>
      <c r="D40" s="84">
        <f>D39/(1+$E$5/100)^(D16-$C$16)</f>
        <v>9.3394306782623779</v>
      </c>
      <c r="E40" s="84">
        <f t="shared" ref="E40:AF40" si="41">E39/(1+$E$5/100)^(E16-$C$16)</f>
        <v>8.1352683383546207</v>
      </c>
      <c r="F40" s="84">
        <f t="shared" si="41"/>
        <v>7.0687037199690153</v>
      </c>
      <c r="G40" s="84">
        <f t="shared" si="41"/>
        <v>6.1255427029193061</v>
      </c>
      <c r="H40" s="84">
        <f t="shared" si="41"/>
        <v>5.2928861935786307</v>
      </c>
      <c r="I40" s="84">
        <f t="shared" si="41"/>
        <v>4.5590350213219084</v>
      </c>
      <c r="J40" s="84">
        <f t="shared" si="41"/>
        <v>3.9133980304766087</v>
      </c>
      <c r="K40" s="84">
        <f t="shared" si="41"/>
        <v>0.74658883784890695</v>
      </c>
      <c r="L40" s="84">
        <f t="shared" si="41"/>
        <v>0.42207527815365276</v>
      </c>
      <c r="M40" s="84">
        <f t="shared" si="41"/>
        <v>3.3594403082023625</v>
      </c>
      <c r="N40" s="84">
        <f t="shared" si="41"/>
        <v>2.882191838129109</v>
      </c>
      <c r="O40" s="84">
        <f t="shared" si="41"/>
        <v>2.4668621644763422</v>
      </c>
      <c r="P40" s="84">
        <f t="shared" si="41"/>
        <v>2.1058309909504995</v>
      </c>
      <c r="Q40" s="84">
        <f t="shared" si="41"/>
        <v>1.7923840630401571</v>
      </c>
      <c r="R40" s="84">
        <f t="shared" si="41"/>
        <v>1.5206080185715851</v>
      </c>
      <c r="S40" s="84">
        <f t="shared" si="41"/>
        <v>1.2852972248627867</v>
      </c>
      <c r="T40" s="84">
        <f t="shared" si="41"/>
        <v>1.0818712546631277</v>
      </c>
      <c r="U40" s="84">
        <f t="shared" si="41"/>
        <v>0.90630180298869989</v>
      </c>
      <c r="V40" s="84">
        <f t="shared" si="41"/>
        <v>0.755047980354979</v>
      </c>
      <c r="W40" s="84">
        <f t="shared" si="41"/>
        <v>0.62499903657734024</v>
      </c>
      <c r="X40" s="84">
        <f t="shared" si="41"/>
        <v>0.51342367487039831</v>
      </c>
      <c r="Y40" s="84">
        <f t="shared" si="41"/>
        <v>0.41792520986566334</v>
      </c>
      <c r="Z40" s="84">
        <f t="shared" si="41"/>
        <v>0.33640190666468173</v>
      </c>
      <c r="AA40" s="84">
        <f t="shared" si="41"/>
        <v>0.26701191229275867</v>
      </c>
      <c r="AB40" s="84">
        <f t="shared" si="41"/>
        <v>0.20814225693285854</v>
      </c>
      <c r="AC40" s="84">
        <f t="shared" si="41"/>
        <v>0.15838146100617675</v>
      </c>
      <c r="AD40" s="84">
        <f t="shared" si="41"/>
        <v>0.11649533633173796</v>
      </c>
      <c r="AE40" s="84">
        <f t="shared" si="41"/>
        <v>8.1405615960594466E-2</v>
      </c>
      <c r="AF40" s="85">
        <f t="shared" si="41"/>
        <v>5.2171088480633121E-2</v>
      </c>
    </row>
    <row r="41" spans="2:42" ht="15.75" thickBot="1">
      <c r="B41" s="29" t="s">
        <v>433</v>
      </c>
      <c r="C41" s="87">
        <f>C40</f>
        <v>-69.015636900734364</v>
      </c>
      <c r="D41" s="87">
        <f>D40+C41</f>
        <v>-59.67620622247199</v>
      </c>
      <c r="E41" s="87">
        <f t="shared" ref="E41:AF41" si="42">E40+D41</f>
        <v>-51.540937884117369</v>
      </c>
      <c r="F41" s="87">
        <f t="shared" si="42"/>
        <v>-44.472234164148354</v>
      </c>
      <c r="G41" s="87">
        <f t="shared" si="42"/>
        <v>-38.346691461229049</v>
      </c>
      <c r="H41" s="87">
        <f t="shared" si="42"/>
        <v>-33.053805267650418</v>
      </c>
      <c r="I41" s="87">
        <f t="shared" si="42"/>
        <v>-28.49477024632851</v>
      </c>
      <c r="J41" s="87">
        <f t="shared" si="42"/>
        <v>-24.5813722158519</v>
      </c>
      <c r="K41" s="87">
        <f t="shared" si="42"/>
        <v>-23.834783378002992</v>
      </c>
      <c r="L41" s="87">
        <f t="shared" si="42"/>
        <v>-23.41270809984934</v>
      </c>
      <c r="M41" s="87">
        <f t="shared" si="42"/>
        <v>-20.053267791646977</v>
      </c>
      <c r="N41" s="87">
        <f t="shared" si="42"/>
        <v>-17.171075953517867</v>
      </c>
      <c r="O41" s="87">
        <f t="shared" si="42"/>
        <v>-14.704213789041525</v>
      </c>
      <c r="P41" s="87">
        <f t="shared" si="42"/>
        <v>-12.598382798091025</v>
      </c>
      <c r="Q41" s="87">
        <f t="shared" si="42"/>
        <v>-10.805998735050869</v>
      </c>
      <c r="R41" s="87">
        <f t="shared" si="42"/>
        <v>-9.2853907164792844</v>
      </c>
      <c r="S41" s="87">
        <f t="shared" si="42"/>
        <v>-8.0000934916164983</v>
      </c>
      <c r="T41" s="87">
        <f t="shared" si="42"/>
        <v>-6.9182222369533708</v>
      </c>
      <c r="U41" s="87">
        <f t="shared" si="42"/>
        <v>-6.0119204339646712</v>
      </c>
      <c r="V41" s="87">
        <f t="shared" si="42"/>
        <v>-5.2568724536096925</v>
      </c>
      <c r="W41" s="87">
        <f t="shared" si="42"/>
        <v>-4.6318734170323523</v>
      </c>
      <c r="X41" s="87">
        <f t="shared" si="42"/>
        <v>-4.1184497421619541</v>
      </c>
      <c r="Y41" s="87">
        <f t="shared" si="42"/>
        <v>-3.7005245322962907</v>
      </c>
      <c r="Z41" s="87">
        <f t="shared" si="42"/>
        <v>-3.3641226256316088</v>
      </c>
      <c r="AA41" s="87">
        <f t="shared" si="42"/>
        <v>-3.09711071333885</v>
      </c>
      <c r="AB41" s="87">
        <f t="shared" si="42"/>
        <v>-2.8889684564059914</v>
      </c>
      <c r="AC41" s="87">
        <f t="shared" si="42"/>
        <v>-2.7305869953998148</v>
      </c>
      <c r="AD41" s="87">
        <f t="shared" si="42"/>
        <v>-2.6140916590680767</v>
      </c>
      <c r="AE41" s="87">
        <f t="shared" si="42"/>
        <v>-2.5326860431074825</v>
      </c>
      <c r="AF41" s="88">
        <f t="shared" si="42"/>
        <v>-2.4805149546268495</v>
      </c>
    </row>
    <row r="42" spans="2:42"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42">
      <c r="S43" s="74"/>
      <c r="T43" s="74"/>
      <c r="U43" s="74"/>
      <c r="V43" s="74"/>
      <c r="W43" s="74"/>
      <c r="X43" s="74"/>
      <c r="Y43" s="74"/>
      <c r="Z43" s="74"/>
    </row>
    <row r="44" spans="2:42" ht="15.75" thickBot="1">
      <c r="S44" s="74"/>
      <c r="T44" s="74"/>
      <c r="U44" s="74"/>
      <c r="V44" s="74"/>
      <c r="W44" s="74"/>
      <c r="X44" s="74"/>
      <c r="Y44" s="74"/>
      <c r="Z44" s="74"/>
    </row>
    <row r="45" spans="2:42">
      <c r="B45" s="25" t="s">
        <v>468</v>
      </c>
      <c r="C45" s="179" t="s">
        <v>474</v>
      </c>
      <c r="D45" s="179"/>
      <c r="E45" s="39" t="s">
        <v>475</v>
      </c>
      <c r="F45" s="39"/>
      <c r="G45" s="26"/>
      <c r="J45" s="74" t="s">
        <v>446</v>
      </c>
      <c r="L45" s="74"/>
      <c r="M45" s="74" t="s">
        <v>447</v>
      </c>
      <c r="N45" s="74"/>
      <c r="S45" s="74"/>
      <c r="T45" s="74"/>
      <c r="U45" s="74"/>
      <c r="V45" s="74"/>
      <c r="W45" s="74"/>
      <c r="X45" s="74"/>
      <c r="Y45" s="74"/>
      <c r="Z45" s="74"/>
    </row>
    <row r="46" spans="2:42">
      <c r="B46" s="27" t="s">
        <v>467</v>
      </c>
      <c r="C46" s="34">
        <v>-52</v>
      </c>
      <c r="D46" s="34">
        <v>21</v>
      </c>
      <c r="E46" s="154" t="s">
        <v>514</v>
      </c>
      <c r="F46" s="154" t="s">
        <v>470</v>
      </c>
      <c r="G46" s="155" t="s">
        <v>469</v>
      </c>
      <c r="J46" s="74" t="s">
        <v>445</v>
      </c>
      <c r="K46" s="74" t="s">
        <v>444</v>
      </c>
      <c r="L46" s="74"/>
      <c r="M46" s="74" t="s">
        <v>445</v>
      </c>
      <c r="N46" s="74" t="s">
        <v>444</v>
      </c>
      <c r="S46" s="74"/>
      <c r="T46" s="74"/>
      <c r="U46" s="74"/>
      <c r="V46" s="74"/>
      <c r="W46" s="74"/>
      <c r="X46" s="74"/>
      <c r="Y46" s="74"/>
      <c r="Z46" s="74"/>
    </row>
    <row r="47" spans="2:42">
      <c r="B47" s="27" t="s">
        <v>471</v>
      </c>
      <c r="C47" s="34">
        <v>16</v>
      </c>
      <c r="D47" s="34">
        <v>21</v>
      </c>
      <c r="E47" s="154" t="s">
        <v>515</v>
      </c>
      <c r="F47" s="154" t="s">
        <v>472</v>
      </c>
      <c r="G47" s="155" t="s">
        <v>473</v>
      </c>
      <c r="J47" s="74">
        <v>40</v>
      </c>
      <c r="K47" s="74">
        <v>403.75</v>
      </c>
      <c r="L47" s="74"/>
      <c r="M47" s="74">
        <v>40</v>
      </c>
      <c r="N47" s="74">
        <v>351.8</v>
      </c>
      <c r="S47" s="74"/>
      <c r="T47" s="74"/>
      <c r="U47" s="74"/>
      <c r="V47" s="74"/>
      <c r="W47" s="74"/>
      <c r="X47" s="74"/>
      <c r="Y47" s="74"/>
      <c r="Z47" s="74"/>
    </row>
    <row r="48" spans="2:42">
      <c r="B48" s="27" t="s">
        <v>476</v>
      </c>
      <c r="C48" s="34">
        <v>16</v>
      </c>
      <c r="D48" s="34">
        <v>21</v>
      </c>
      <c r="E48" s="154" t="s">
        <v>516</v>
      </c>
      <c r="F48" s="154" t="s">
        <v>477</v>
      </c>
      <c r="G48" s="155" t="s">
        <v>478</v>
      </c>
      <c r="J48" s="74">
        <v>80</v>
      </c>
      <c r="K48" s="74">
        <v>461.71</v>
      </c>
      <c r="L48" s="74"/>
      <c r="M48" s="74">
        <v>80</v>
      </c>
      <c r="N48" s="74">
        <v>410.35</v>
      </c>
      <c r="S48" s="74"/>
      <c r="T48" s="74"/>
      <c r="U48" s="74"/>
      <c r="V48" s="74"/>
      <c r="W48" s="74"/>
      <c r="X48" s="74"/>
      <c r="Y48" s="74"/>
      <c r="Z48" s="74"/>
    </row>
    <row r="49" spans="2:26">
      <c r="B49" s="27" t="s">
        <v>480</v>
      </c>
      <c r="C49" s="34">
        <v>9</v>
      </c>
      <c r="D49" s="34">
        <v>21</v>
      </c>
      <c r="E49" s="154" t="s">
        <v>507</v>
      </c>
      <c r="F49" s="154" t="s">
        <v>482</v>
      </c>
      <c r="G49" s="155" t="s">
        <v>481</v>
      </c>
      <c r="J49" s="74">
        <v>93</v>
      </c>
      <c r="K49" s="74">
        <v>480.57</v>
      </c>
      <c r="L49" s="74"/>
      <c r="M49" s="74">
        <v>93</v>
      </c>
      <c r="N49" s="74">
        <v>429.38</v>
      </c>
      <c r="S49" s="74"/>
      <c r="T49" s="74"/>
      <c r="U49" s="74"/>
      <c r="V49" s="74"/>
      <c r="W49" s="74"/>
      <c r="X49" s="74"/>
      <c r="Y49" s="74"/>
      <c r="Z49" s="74"/>
    </row>
    <row r="50" spans="2:26">
      <c r="B50" s="27" t="s">
        <v>483</v>
      </c>
      <c r="C50" s="34">
        <v>5</v>
      </c>
      <c r="D50" s="34">
        <v>21</v>
      </c>
      <c r="E50" s="154" t="s">
        <v>492</v>
      </c>
      <c r="F50" s="154" t="s">
        <v>484</v>
      </c>
      <c r="G50" s="155" t="s">
        <v>479</v>
      </c>
      <c r="S50" s="74"/>
      <c r="T50" s="74"/>
      <c r="U50" s="74"/>
      <c r="V50" s="74"/>
      <c r="W50" s="74"/>
      <c r="X50" s="74"/>
      <c r="Y50" s="74"/>
      <c r="Z50" s="74"/>
    </row>
    <row r="51" spans="2:26">
      <c r="B51" s="27" t="s">
        <v>371</v>
      </c>
      <c r="C51" s="34">
        <v>0</v>
      </c>
      <c r="D51" s="34">
        <v>21</v>
      </c>
      <c r="E51" s="154" t="s">
        <v>517</v>
      </c>
      <c r="F51" s="154" t="s">
        <v>490</v>
      </c>
      <c r="G51" s="155" t="s">
        <v>489</v>
      </c>
      <c r="S51" s="74"/>
      <c r="T51" s="74"/>
      <c r="U51" s="74"/>
      <c r="V51" s="74"/>
      <c r="W51" s="74"/>
      <c r="X51" s="74"/>
      <c r="Y51" s="74"/>
      <c r="Z51" s="74"/>
    </row>
    <row r="52" spans="2:26">
      <c r="B52" s="27" t="s">
        <v>491</v>
      </c>
      <c r="C52" s="34">
        <v>16</v>
      </c>
      <c r="D52" s="34">
        <v>21</v>
      </c>
      <c r="E52" s="154" t="s">
        <v>518</v>
      </c>
      <c r="F52" s="154" t="s">
        <v>490</v>
      </c>
      <c r="G52" s="155" t="s">
        <v>492</v>
      </c>
      <c r="S52" s="74"/>
      <c r="T52" s="74"/>
      <c r="U52" s="74"/>
      <c r="V52" s="74"/>
      <c r="W52" s="74"/>
      <c r="X52" s="74"/>
      <c r="Y52" s="74"/>
      <c r="Z52" s="74"/>
    </row>
    <row r="53" spans="2:26">
      <c r="B53" s="27" t="s">
        <v>499</v>
      </c>
      <c r="C53" s="34">
        <v>-44</v>
      </c>
      <c r="D53" s="34">
        <v>21</v>
      </c>
      <c r="E53" s="154" t="s">
        <v>519</v>
      </c>
      <c r="F53" s="154" t="s">
        <v>501</v>
      </c>
      <c r="G53" s="155" t="s">
        <v>502</v>
      </c>
      <c r="S53" s="74"/>
      <c r="T53" s="74"/>
      <c r="U53" s="74"/>
      <c r="V53" s="74"/>
      <c r="W53" s="74"/>
      <c r="X53" s="74"/>
      <c r="Y53" s="74"/>
      <c r="Z53" s="74"/>
    </row>
    <row r="54" spans="2:26">
      <c r="B54" s="27" t="s">
        <v>500</v>
      </c>
      <c r="C54" s="34">
        <v>-74</v>
      </c>
      <c r="D54" s="34">
        <v>21</v>
      </c>
      <c r="E54" s="154" t="s">
        <v>520</v>
      </c>
      <c r="F54" s="154" t="s">
        <v>504</v>
      </c>
      <c r="G54" s="155" t="s">
        <v>503</v>
      </c>
      <c r="S54" s="74"/>
      <c r="T54" s="74"/>
      <c r="U54" s="74"/>
      <c r="V54" s="74"/>
      <c r="W54" s="74"/>
      <c r="X54" s="74"/>
      <c r="Y54" s="74"/>
      <c r="Z54" s="74"/>
    </row>
    <row r="55" spans="2:26">
      <c r="B55" s="27" t="s">
        <v>505</v>
      </c>
      <c r="C55" s="34">
        <v>16</v>
      </c>
      <c r="D55" s="34">
        <v>21</v>
      </c>
      <c r="E55" s="154" t="s">
        <v>521</v>
      </c>
      <c r="F55" s="154" t="s">
        <v>506</v>
      </c>
      <c r="G55" s="155" t="s">
        <v>489</v>
      </c>
      <c r="S55" s="74"/>
      <c r="T55" s="74"/>
      <c r="U55" s="74"/>
      <c r="V55" s="74"/>
      <c r="W55" s="74"/>
      <c r="X55" s="74"/>
      <c r="Y55" s="74"/>
      <c r="Z55" s="74"/>
    </row>
    <row r="56" spans="2:26">
      <c r="B56" s="27" t="s">
        <v>508</v>
      </c>
      <c r="C56" s="34">
        <v>-2</v>
      </c>
      <c r="D56" s="34">
        <v>21</v>
      </c>
      <c r="E56" s="154" t="s">
        <v>519</v>
      </c>
      <c r="F56" s="154" t="s">
        <v>484</v>
      </c>
      <c r="G56" s="155" t="s">
        <v>506</v>
      </c>
    </row>
    <row r="57" spans="2:26">
      <c r="B57" s="27" t="s">
        <v>510</v>
      </c>
      <c r="C57" s="34">
        <v>9</v>
      </c>
      <c r="D57" s="34">
        <v>21</v>
      </c>
      <c r="E57" s="154" t="s">
        <v>518</v>
      </c>
      <c r="F57" s="154" t="s">
        <v>511</v>
      </c>
      <c r="G57" s="155" t="s">
        <v>479</v>
      </c>
    </row>
    <row r="58" spans="2:26">
      <c r="B58" s="27" t="s">
        <v>394</v>
      </c>
      <c r="C58" s="34">
        <v>-99</v>
      </c>
      <c r="D58" s="34">
        <v>21</v>
      </c>
      <c r="E58" s="154" t="s">
        <v>523</v>
      </c>
      <c r="F58" s="154" t="s">
        <v>509</v>
      </c>
      <c r="G58" s="155" t="s">
        <v>522</v>
      </c>
    </row>
    <row r="59" spans="2:26" ht="15.75" thickBot="1">
      <c r="B59" s="29" t="s">
        <v>512</v>
      </c>
      <c r="C59" s="57">
        <v>-46</v>
      </c>
      <c r="D59" s="57">
        <v>21</v>
      </c>
      <c r="E59" s="156" t="s">
        <v>524</v>
      </c>
      <c r="F59" s="156" t="s">
        <v>513</v>
      </c>
      <c r="G59" s="157" t="s">
        <v>492</v>
      </c>
    </row>
    <row r="60" spans="2:26">
      <c r="G60" s="154"/>
    </row>
    <row r="74" spans="3:4">
      <c r="C74" s="30"/>
      <c r="D74" s="30"/>
    </row>
    <row r="75" spans="3:4">
      <c r="C75" s="30"/>
      <c r="D75" s="30"/>
    </row>
    <row r="76" spans="3:4">
      <c r="C76" s="30"/>
      <c r="D76" s="30"/>
    </row>
    <row r="77" spans="3:4">
      <c r="C77" s="30"/>
      <c r="D77" s="30"/>
    </row>
    <row r="78" spans="3:4">
      <c r="C78" s="30"/>
      <c r="D78" s="30"/>
    </row>
    <row r="79" spans="3:4">
      <c r="C79" s="30"/>
      <c r="D79" s="30"/>
    </row>
    <row r="80" spans="3:4">
      <c r="C80" s="30"/>
      <c r="D80" s="30"/>
    </row>
    <row r="81" spans="3:4">
      <c r="C81" s="30"/>
      <c r="D81" s="30"/>
    </row>
    <row r="82" spans="3:4">
      <c r="C82" s="30"/>
      <c r="D82" s="30"/>
    </row>
    <row r="83" spans="3:4">
      <c r="C83" s="30"/>
      <c r="D83" s="30"/>
    </row>
  </sheetData>
  <mergeCells count="1">
    <mergeCell ref="C45:D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4"/>
  <sheetViews>
    <sheetView workbookViewId="0">
      <selection activeCell="L21" sqref="L21"/>
    </sheetView>
  </sheetViews>
  <sheetFormatPr defaultRowHeight="15"/>
  <cols>
    <col min="2" max="2" width="24.5703125" style="3" bestFit="1" customWidth="1"/>
    <col min="3" max="4" width="12.7109375" bestFit="1" customWidth="1"/>
    <col min="6" max="6" width="12.7109375" bestFit="1" customWidth="1"/>
  </cols>
  <sheetData>
    <row r="1" spans="1:10">
      <c r="A1" t="s">
        <v>73</v>
      </c>
    </row>
    <row r="2" spans="1:10">
      <c r="B2" s="3" t="s">
        <v>74</v>
      </c>
    </row>
    <row r="4" spans="1:10">
      <c r="B4" s="4" t="s">
        <v>75</v>
      </c>
      <c r="C4" s="102" t="s">
        <v>76</v>
      </c>
      <c r="D4" s="74"/>
      <c r="E4" s="103"/>
      <c r="F4" s="102" t="s">
        <v>77</v>
      </c>
      <c r="G4" s="74"/>
      <c r="H4" s="74"/>
      <c r="I4" s="74"/>
      <c r="J4" s="74"/>
    </row>
    <row r="5" spans="1:10">
      <c r="B5" s="7" t="s">
        <v>78</v>
      </c>
      <c r="C5" s="104">
        <v>568.6</v>
      </c>
      <c r="D5" s="74"/>
      <c r="E5" s="105">
        <v>2003</v>
      </c>
      <c r="F5" s="104">
        <v>402</v>
      </c>
      <c r="G5" s="74"/>
      <c r="H5" s="74"/>
      <c r="I5" s="74"/>
      <c r="J5" s="74"/>
    </row>
    <row r="6" spans="1:10">
      <c r="B6" s="7" t="s">
        <v>79</v>
      </c>
      <c r="C6" s="104">
        <v>688</v>
      </c>
      <c r="D6" s="74"/>
      <c r="E6" s="105">
        <v>2004</v>
      </c>
      <c r="F6" s="104">
        <v>444.2</v>
      </c>
      <c r="G6" s="74"/>
      <c r="H6" s="74"/>
      <c r="I6" s="74"/>
      <c r="J6" s="74"/>
    </row>
    <row r="7" spans="1:10">
      <c r="B7" s="7" t="s">
        <v>80</v>
      </c>
      <c r="C7" s="104">
        <v>624.5</v>
      </c>
      <c r="D7" s="74"/>
      <c r="E7" s="105">
        <v>2005</v>
      </c>
      <c r="F7" s="104">
        <v>468.2</v>
      </c>
      <c r="G7" s="74"/>
      <c r="H7" s="74"/>
      <c r="I7" s="74"/>
      <c r="J7" s="74"/>
    </row>
    <row r="8" spans="1:10">
      <c r="B8" s="7" t="s">
        <v>81</v>
      </c>
      <c r="C8" s="104">
        <v>672.2</v>
      </c>
      <c r="D8" s="74"/>
      <c r="E8" s="105">
        <v>2006</v>
      </c>
      <c r="F8" s="104">
        <v>499.6</v>
      </c>
      <c r="G8" s="74"/>
      <c r="H8" s="74"/>
      <c r="I8" s="74"/>
      <c r="J8" s="74"/>
    </row>
    <row r="9" spans="1:10">
      <c r="B9" s="7" t="s">
        <v>82</v>
      </c>
      <c r="C9" s="104">
        <v>858.5</v>
      </c>
      <c r="D9" s="74"/>
      <c r="E9" s="105">
        <v>2007</v>
      </c>
      <c r="F9" s="104">
        <v>525.4</v>
      </c>
      <c r="G9" s="74"/>
      <c r="H9" s="74"/>
      <c r="I9" s="74"/>
      <c r="J9" s="74"/>
    </row>
    <row r="10" spans="1:10">
      <c r="B10" s="7" t="s">
        <v>83</v>
      </c>
      <c r="C10" s="104">
        <v>404</v>
      </c>
      <c r="D10" s="74"/>
      <c r="E10" s="105">
        <v>2008</v>
      </c>
      <c r="F10" s="104">
        <v>575.4</v>
      </c>
      <c r="G10" s="74"/>
      <c r="H10" s="74"/>
      <c r="I10" s="74" t="s">
        <v>92</v>
      </c>
      <c r="J10" s="74"/>
    </row>
    <row r="11" spans="1:10">
      <c r="B11" s="7" t="s">
        <v>84</v>
      </c>
      <c r="C11" s="104">
        <v>953.5</v>
      </c>
      <c r="D11" s="74"/>
      <c r="E11" s="105">
        <v>2009</v>
      </c>
      <c r="F11" s="104">
        <v>521.9</v>
      </c>
      <c r="G11" s="74"/>
      <c r="H11" s="74"/>
      <c r="I11" s="1">
        <v>2006</v>
      </c>
      <c r="J11" s="74">
        <v>499.6</v>
      </c>
    </row>
    <row r="12" spans="1:10">
      <c r="B12" s="7" t="s">
        <v>85</v>
      </c>
      <c r="C12" s="104">
        <v>513.5</v>
      </c>
      <c r="D12" s="74"/>
      <c r="E12" s="105">
        <v>2010</v>
      </c>
      <c r="F12" s="104">
        <v>550.79999999999995</v>
      </c>
      <c r="G12" s="74"/>
      <c r="H12" s="74"/>
      <c r="I12" s="1">
        <v>2016</v>
      </c>
      <c r="J12" s="74">
        <v>568.79999999999995</v>
      </c>
    </row>
    <row r="13" spans="1:10">
      <c r="B13" s="7" t="s">
        <v>86</v>
      </c>
      <c r="C13" s="104">
        <v>745.9</v>
      </c>
      <c r="D13" s="74"/>
      <c r="E13" s="105">
        <v>2011</v>
      </c>
      <c r="F13" s="104">
        <v>585.70000000000005</v>
      </c>
      <c r="G13" s="74"/>
      <c r="H13" s="74"/>
      <c r="I13" s="1">
        <v>2007</v>
      </c>
      <c r="J13" s="74">
        <f>F9</f>
        <v>525.4</v>
      </c>
    </row>
    <row r="14" spans="1:10">
      <c r="B14" s="7" t="s">
        <v>87</v>
      </c>
      <c r="C14" s="104">
        <v>321.8</v>
      </c>
      <c r="D14" s="74"/>
      <c r="E14" s="105">
        <v>2012</v>
      </c>
      <c r="F14" s="104">
        <v>584.6</v>
      </c>
      <c r="G14" s="74"/>
      <c r="H14" s="74"/>
      <c r="I14" s="108">
        <v>2018</v>
      </c>
      <c r="J14" s="74">
        <v>603.1</v>
      </c>
    </row>
    <row r="15" spans="1:10">
      <c r="B15" s="7" t="s">
        <v>88</v>
      </c>
      <c r="C15" s="104">
        <v>545.29999999999995</v>
      </c>
      <c r="D15" s="74"/>
      <c r="E15" s="105">
        <v>2013</v>
      </c>
      <c r="F15" s="104">
        <v>567.29999999999995</v>
      </c>
      <c r="G15" s="74"/>
      <c r="H15" s="74"/>
      <c r="I15" s="74"/>
      <c r="J15" s="74"/>
    </row>
    <row r="16" spans="1:10">
      <c r="B16" s="10" t="s">
        <v>89</v>
      </c>
      <c r="C16" s="106">
        <v>319</v>
      </c>
      <c r="D16" s="74"/>
      <c r="E16" s="105">
        <v>2014</v>
      </c>
      <c r="F16" s="104">
        <v>576.1</v>
      </c>
      <c r="G16" s="74"/>
      <c r="H16" s="74"/>
      <c r="I16" s="74"/>
      <c r="J16" s="74"/>
    </row>
    <row r="17" spans="2:10">
      <c r="C17" s="74"/>
      <c r="D17" s="74"/>
      <c r="E17" s="107">
        <v>2015</v>
      </c>
      <c r="F17" s="106">
        <v>556.79999999999995</v>
      </c>
      <c r="G17" s="74"/>
      <c r="H17" s="74"/>
      <c r="I17" s="74"/>
      <c r="J17" s="74"/>
    </row>
    <row r="18" spans="2:10">
      <c r="C18" s="74"/>
      <c r="D18" s="74"/>
      <c r="E18" s="103">
        <v>1982</v>
      </c>
      <c r="F18" s="102">
        <v>314</v>
      </c>
      <c r="G18" s="74"/>
      <c r="H18" s="74"/>
      <c r="I18" s="74"/>
      <c r="J18" s="74"/>
    </row>
    <row r="19" spans="2:10">
      <c r="C19" s="74"/>
      <c r="D19" s="74"/>
      <c r="E19" s="105">
        <v>1983</v>
      </c>
      <c r="F19" s="104">
        <v>317</v>
      </c>
      <c r="G19" s="74"/>
      <c r="H19" s="74"/>
      <c r="I19" s="74"/>
      <c r="J19" s="74"/>
    </row>
    <row r="20" spans="2:10">
      <c r="B20" s="3" t="s">
        <v>90</v>
      </c>
      <c r="C20" s="74"/>
      <c r="D20" s="74"/>
      <c r="E20" s="105">
        <v>1984</v>
      </c>
      <c r="F20" s="104">
        <v>322.7</v>
      </c>
      <c r="G20" s="74"/>
      <c r="H20" s="74"/>
      <c r="I20" s="74"/>
      <c r="J20" s="74"/>
    </row>
    <row r="21" spans="2:10">
      <c r="C21" s="74"/>
      <c r="D21" s="74"/>
      <c r="E21" s="105">
        <v>1985</v>
      </c>
      <c r="F21" s="104">
        <v>325.3</v>
      </c>
      <c r="G21" s="74"/>
      <c r="H21" s="74"/>
      <c r="I21" s="74"/>
      <c r="J21" s="74"/>
    </row>
    <row r="22" spans="2:10">
      <c r="C22" s="74"/>
      <c r="D22" s="74"/>
      <c r="E22" s="105">
        <v>1986</v>
      </c>
      <c r="F22" s="104">
        <v>318.39999999999998</v>
      </c>
      <c r="G22" s="74"/>
      <c r="H22" s="74"/>
      <c r="I22" s="74"/>
      <c r="J22" s="74"/>
    </row>
    <row r="23" spans="2:10">
      <c r="C23" s="74"/>
      <c r="D23" s="74"/>
      <c r="E23" s="105">
        <v>1987</v>
      </c>
      <c r="F23" s="104">
        <v>323.8</v>
      </c>
      <c r="G23" s="74"/>
      <c r="H23" s="74"/>
      <c r="I23" s="74"/>
      <c r="J23" s="74"/>
    </row>
    <row r="24" spans="2:10">
      <c r="C24" s="74"/>
      <c r="D24" s="74"/>
      <c r="E24" s="105">
        <v>1988</v>
      </c>
      <c r="F24" s="104">
        <v>342.5</v>
      </c>
      <c r="G24" s="74"/>
      <c r="H24" s="74"/>
      <c r="I24" s="74"/>
      <c r="J24" s="74"/>
    </row>
    <row r="25" spans="2:10">
      <c r="C25" s="74"/>
      <c r="D25" s="74"/>
      <c r="E25" s="105">
        <v>1989</v>
      </c>
      <c r="F25" s="104">
        <v>355.4</v>
      </c>
      <c r="G25" s="74"/>
      <c r="H25" s="74"/>
      <c r="I25" s="74"/>
      <c r="J25" s="74"/>
    </row>
    <row r="26" spans="2:10">
      <c r="C26" s="74"/>
      <c r="D26" s="74"/>
      <c r="E26" s="105">
        <v>1990</v>
      </c>
      <c r="F26" s="104">
        <v>357.6</v>
      </c>
      <c r="G26" s="74"/>
      <c r="H26" s="74"/>
      <c r="I26" s="74"/>
      <c r="J26" s="74"/>
    </row>
    <row r="27" spans="2:10">
      <c r="C27" s="74"/>
      <c r="D27" s="74"/>
      <c r="E27" s="105">
        <v>1991</v>
      </c>
      <c r="F27" s="104">
        <v>361.3</v>
      </c>
      <c r="G27" s="74"/>
      <c r="H27" s="74"/>
      <c r="I27" s="74"/>
      <c r="J27" s="74"/>
    </row>
    <row r="28" spans="2:10">
      <c r="C28" s="74"/>
      <c r="D28" s="74"/>
      <c r="E28" s="105">
        <v>1992</v>
      </c>
      <c r="F28" s="104">
        <v>358.2</v>
      </c>
      <c r="G28" s="74"/>
      <c r="H28" s="74"/>
      <c r="I28" s="74"/>
      <c r="J28" s="74"/>
    </row>
    <row r="29" spans="2:10">
      <c r="C29" s="74"/>
      <c r="D29" s="74"/>
      <c r="E29" s="105">
        <v>1993</v>
      </c>
      <c r="F29" s="104">
        <v>359.2</v>
      </c>
      <c r="G29" s="74"/>
      <c r="H29" s="74"/>
      <c r="I29" s="74"/>
      <c r="J29" s="74"/>
    </row>
    <row r="30" spans="2:10">
      <c r="C30" s="74"/>
      <c r="D30" s="74"/>
      <c r="E30" s="105">
        <v>1994</v>
      </c>
      <c r="F30" s="104">
        <v>368.1</v>
      </c>
      <c r="G30" s="74"/>
      <c r="H30" s="74"/>
      <c r="I30" s="74"/>
      <c r="J30" s="74"/>
    </row>
    <row r="31" spans="2:10">
      <c r="C31" s="74"/>
      <c r="D31" s="74"/>
      <c r="E31" s="105">
        <v>1995</v>
      </c>
      <c r="F31" s="104">
        <v>381.1</v>
      </c>
      <c r="G31" s="74"/>
      <c r="H31" s="74"/>
      <c r="I31" s="74"/>
      <c r="J31" s="74"/>
    </row>
    <row r="32" spans="2:10">
      <c r="C32" s="74"/>
      <c r="D32" s="74"/>
      <c r="E32" s="105">
        <v>1996</v>
      </c>
      <c r="F32" s="104">
        <v>381.7</v>
      </c>
      <c r="G32" s="74"/>
      <c r="H32" s="74"/>
      <c r="I32" s="74"/>
      <c r="J32" s="74"/>
    </row>
    <row r="33" spans="3:10">
      <c r="C33" s="74"/>
      <c r="D33" s="74"/>
      <c r="E33" s="105">
        <v>1997</v>
      </c>
      <c r="F33" s="104">
        <v>386.5</v>
      </c>
      <c r="G33" s="74"/>
      <c r="H33" s="74"/>
      <c r="I33" s="74"/>
      <c r="J33" s="74"/>
    </row>
    <row r="34" spans="3:10">
      <c r="C34" s="74"/>
      <c r="D34" s="74"/>
      <c r="E34" s="105">
        <v>1998</v>
      </c>
      <c r="F34" s="104">
        <v>389.5</v>
      </c>
      <c r="G34" s="74"/>
      <c r="H34" s="74"/>
      <c r="I34" s="74"/>
      <c r="J34" s="74"/>
    </row>
    <row r="35" spans="3:10">
      <c r="C35" s="74"/>
      <c r="D35" s="74"/>
      <c r="E35" s="105">
        <v>1999</v>
      </c>
      <c r="F35" s="104">
        <v>390.6</v>
      </c>
      <c r="G35" s="74"/>
      <c r="H35" s="74"/>
      <c r="I35" s="74"/>
      <c r="J35" s="74"/>
    </row>
    <row r="36" spans="3:10">
      <c r="C36" s="74"/>
      <c r="D36" s="74"/>
      <c r="E36" s="107">
        <v>2000</v>
      </c>
      <c r="F36" s="106">
        <v>394.1</v>
      </c>
      <c r="G36" s="74"/>
      <c r="H36" s="74"/>
      <c r="I36" s="74"/>
      <c r="J36" s="74"/>
    </row>
    <row r="37" spans="3:10">
      <c r="C37" s="74"/>
      <c r="D37" s="74"/>
      <c r="E37" s="84"/>
      <c r="F37" s="84"/>
      <c r="G37" s="74"/>
      <c r="H37" s="74"/>
      <c r="I37" s="74"/>
      <c r="J37" s="74"/>
    </row>
    <row r="38" spans="3:10">
      <c r="E38" s="2"/>
      <c r="F38" s="2"/>
    </row>
    <row r="54" spans="2:2">
      <c r="B54" s="3">
        <f>B49*62.169+50000000</f>
        <v>50000000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topLeftCell="A37" workbookViewId="0">
      <selection activeCell="AE55" sqref="AE55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33">
      <c r="B1" t="s">
        <v>365</v>
      </c>
      <c r="C1" s="74">
        <f>FCI!D44*G8*G9</f>
        <v>165.63618519901624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74"/>
      <c r="N1" s="80"/>
      <c r="O1" s="81" t="s">
        <v>374</v>
      </c>
      <c r="P1" s="81" t="s">
        <v>416</v>
      </c>
      <c r="Q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149.0725666791146</v>
      </c>
      <c r="D2" s="74" t="s">
        <v>436</v>
      </c>
      <c r="E2" s="74">
        <v>90</v>
      </c>
      <c r="F2" t="s">
        <v>417</v>
      </c>
      <c r="G2" s="74">
        <v>25.7</v>
      </c>
      <c r="H2" s="30">
        <v>25.7</v>
      </c>
      <c r="I2" s="30">
        <v>20</v>
      </c>
      <c r="J2" s="30">
        <v>30</v>
      </c>
      <c r="K2" s="30">
        <v>25</v>
      </c>
      <c r="M2" s="74"/>
      <c r="N2" s="83">
        <v>2018</v>
      </c>
      <c r="O2" s="84">
        <f>E3</f>
        <v>82.81809259950812</v>
      </c>
      <c r="P2" s="84">
        <f>O2*$C$5/100</f>
        <v>7.8677187969532714</v>
      </c>
      <c r="Q2" s="85">
        <f>O2+P2-$C$7</f>
        <v>77.495692500009923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82.81809259950812</v>
      </c>
      <c r="F3" t="s">
        <v>418</v>
      </c>
      <c r="G3" s="74">
        <v>0</v>
      </c>
      <c r="H3" s="30">
        <v>0</v>
      </c>
      <c r="I3" s="30">
        <v>29.3</v>
      </c>
      <c r="J3" s="30">
        <v>3.7</v>
      </c>
      <c r="K3" s="30">
        <v>0</v>
      </c>
      <c r="M3" s="74"/>
      <c r="N3" s="83" t="s">
        <v>376</v>
      </c>
      <c r="O3" s="84">
        <f>Q2</f>
        <v>77.495692500009923</v>
      </c>
      <c r="P3" s="84">
        <f t="shared" ref="P3:P11" si="0">O3*$C$5/100</f>
        <v>7.3620907875009429</v>
      </c>
      <c r="Q3" s="85">
        <f t="shared" ref="Q3:Q11" si="1">O3+P3-$C$7</f>
        <v>71.667664391059404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82.81809259950812</v>
      </c>
      <c r="F4" t="s">
        <v>422</v>
      </c>
      <c r="G4" s="74">
        <f>G3*G10/1000000</f>
        <v>0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74"/>
      <c r="N4" s="83" t="s">
        <v>377</v>
      </c>
      <c r="O4" s="84">
        <f t="shared" ref="O4:O11" si="2">Q3</f>
        <v>71.667664391059404</v>
      </c>
      <c r="P4" s="84">
        <f t="shared" si="0"/>
        <v>6.808428117150644</v>
      </c>
      <c r="Q4" s="85">
        <f t="shared" si="1"/>
        <v>65.285973611758578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495.5</v>
      </c>
      <c r="H5" s="30">
        <v>495.5</v>
      </c>
      <c r="I5" s="30">
        <v>474.7</v>
      </c>
      <c r="J5" s="30">
        <v>495.5</v>
      </c>
      <c r="K5" s="30">
        <v>475.42</v>
      </c>
      <c r="M5" s="74"/>
      <c r="N5" s="83" t="s">
        <v>378</v>
      </c>
      <c r="O5" s="84">
        <f t="shared" si="2"/>
        <v>65.285973611758578</v>
      </c>
      <c r="P5" s="84">
        <f t="shared" si="0"/>
        <v>6.2021674931170647</v>
      </c>
      <c r="Q5" s="85">
        <f t="shared" si="1"/>
        <v>58.298022208424179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588</v>
      </c>
      <c r="H6" s="30">
        <v>588</v>
      </c>
      <c r="I6" s="30">
        <v>285</v>
      </c>
      <c r="J6" s="30">
        <v>856</v>
      </c>
      <c r="K6" s="30">
        <v>1064</v>
      </c>
      <c r="M6" s="74"/>
      <c r="N6" s="83" t="s">
        <v>379</v>
      </c>
      <c r="O6" s="84">
        <f t="shared" si="2"/>
        <v>58.298022208424179</v>
      </c>
      <c r="P6" s="84">
        <f t="shared" si="0"/>
        <v>5.5383121098002972</v>
      </c>
      <c r="Q6" s="85">
        <f t="shared" si="1"/>
        <v>50.646215421773014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13.190118896451461</v>
      </c>
      <c r="D7" s="74"/>
      <c r="E7" s="74"/>
      <c r="F7" s="74" t="s">
        <v>429</v>
      </c>
      <c r="G7" s="74">
        <v>69.3</v>
      </c>
      <c r="H7" s="30">
        <v>69.3</v>
      </c>
      <c r="I7" s="30">
        <v>75.37</v>
      </c>
      <c r="J7" s="30">
        <v>75.760000000000005</v>
      </c>
      <c r="K7" s="30">
        <v>79.61</v>
      </c>
      <c r="M7" s="74"/>
      <c r="N7" s="83" t="s">
        <v>380</v>
      </c>
      <c r="O7" s="84">
        <f t="shared" si="2"/>
        <v>50.646215421773014</v>
      </c>
      <c r="P7" s="84">
        <f t="shared" si="0"/>
        <v>4.8113904650684365</v>
      </c>
      <c r="Q7" s="85">
        <f t="shared" si="1"/>
        <v>42.26748699038999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21.29608095415923</v>
      </c>
      <c r="D8" s="74"/>
      <c r="E8" s="74"/>
      <c r="F8" s="74" t="s">
        <v>279</v>
      </c>
      <c r="G8" s="74">
        <v>1</v>
      </c>
      <c r="H8" s="30">
        <v>1</v>
      </c>
      <c r="I8" s="30">
        <v>0.88</v>
      </c>
      <c r="J8" s="30">
        <v>9.0399999999999991</v>
      </c>
      <c r="K8" s="30">
        <v>3.54</v>
      </c>
      <c r="M8" s="74"/>
      <c r="N8" s="83" t="s">
        <v>381</v>
      </c>
      <c r="O8" s="84">
        <f t="shared" si="2"/>
        <v>42.26748699038999</v>
      </c>
      <c r="P8" s="84">
        <f t="shared" si="0"/>
        <v>4.0154112640870485</v>
      </c>
      <c r="Q8" s="85">
        <f t="shared" si="1"/>
        <v>33.092779358025581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f>'NG utility'!I1/1000*'NG utility'!I18*CashflowUSA!G5/1000000</f>
        <v>89.212261285554021</v>
      </c>
      <c r="D9" s="74" t="s">
        <v>398</v>
      </c>
      <c r="E9" s="74">
        <v>3</v>
      </c>
      <c r="F9" s="74" t="s">
        <v>435</v>
      </c>
      <c r="G9" s="74">
        <v>1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74"/>
      <c r="N9" s="83" t="s">
        <v>382</v>
      </c>
      <c r="O9" s="84">
        <f t="shared" si="2"/>
        <v>33.092779358025581</v>
      </c>
      <c r="P9" s="84">
        <f t="shared" si="0"/>
        <v>3.1438140390124301</v>
      </c>
      <c r="Q9" s="85">
        <f t="shared" si="1"/>
        <v>23.046474500586555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'Maintenance &amp; Operations cost'!I30/1000000*G8*G9+0.1155*CashflowUSA!C9+G7*C14/1000/1000000</f>
        <v>62.895975025556339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71836.707727180401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74"/>
      <c r="N10" s="83" t="s">
        <v>383</v>
      </c>
      <c r="O10" s="84">
        <f t="shared" si="2"/>
        <v>23.046474500586555</v>
      </c>
      <c r="P10" s="84">
        <f t="shared" si="0"/>
        <v>2.1894150775557226</v>
      </c>
      <c r="Q10" s="85">
        <f t="shared" si="1"/>
        <v>12.045770681690817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>
        <f>(0-AF41)*1000000/(G10*E6)</f>
        <v>-10.279493858978293</v>
      </c>
      <c r="H11" s="30"/>
      <c r="I11" s="30"/>
      <c r="J11" s="30"/>
      <c r="K11" s="30"/>
      <c r="M11" s="74"/>
      <c r="N11" s="83" t="s">
        <v>384</v>
      </c>
      <c r="O11" s="84">
        <f t="shared" si="2"/>
        <v>12.045770681690817</v>
      </c>
      <c r="P11" s="84">
        <f t="shared" si="0"/>
        <v>1.1443482147606276</v>
      </c>
      <c r="Q11" s="85">
        <f t="shared" si="1"/>
        <v>-1.5987211554602254E-14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74"/>
      <c r="N12" s="86"/>
      <c r="O12" s="87"/>
      <c r="P12" s="87"/>
      <c r="Q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-13.190118896451461</v>
      </c>
      <c r="D17" s="84">
        <f>-$C$7</f>
        <v>-13.190118896451461</v>
      </c>
      <c r="E17" s="84">
        <f t="shared" ref="E17:L17" si="4">-$C$7</f>
        <v>-13.190118896451461</v>
      </c>
      <c r="F17" s="84">
        <f t="shared" si="4"/>
        <v>-13.190118896451461</v>
      </c>
      <c r="G17" s="84">
        <f t="shared" si="4"/>
        <v>-13.190118896451461</v>
      </c>
      <c r="H17" s="84">
        <f t="shared" si="4"/>
        <v>-13.190118896451461</v>
      </c>
      <c r="I17" s="84">
        <f t="shared" si="4"/>
        <v>-13.190118896451461</v>
      </c>
      <c r="J17" s="84">
        <f t="shared" si="4"/>
        <v>-13.190118896451461</v>
      </c>
      <c r="K17" s="84">
        <f t="shared" si="4"/>
        <v>-13.190118896451461</v>
      </c>
      <c r="L17" s="84">
        <f t="shared" si="4"/>
        <v>-13.190118896451461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89.212261285554021</v>
      </c>
      <c r="D18" s="84">
        <f>$C$9*(1+$E$9/100)^(D16-$C$16)</f>
        <v>91.888629124120641</v>
      </c>
      <c r="E18" s="84">
        <f t="shared" ref="E18:AF18" si="5">$C$9*(1+$E$9/100)^(E16-$C$16)</f>
        <v>94.645287997844264</v>
      </c>
      <c r="F18" s="84">
        <f t="shared" si="5"/>
        <v>97.484646637779591</v>
      </c>
      <c r="G18" s="84">
        <f t="shared" si="5"/>
        <v>100.40918603691297</v>
      </c>
      <c r="H18" s="84">
        <f t="shared" si="5"/>
        <v>103.42146161802034</v>
      </c>
      <c r="I18" s="84">
        <f t="shared" si="5"/>
        <v>106.52410546656097</v>
      </c>
      <c r="J18" s="84">
        <f t="shared" si="5"/>
        <v>109.7198286305578</v>
      </c>
      <c r="K18" s="84">
        <f t="shared" si="5"/>
        <v>113.01142348947452</v>
      </c>
      <c r="L18" s="84">
        <f t="shared" si="5"/>
        <v>116.40176619415877</v>
      </c>
      <c r="M18" s="84">
        <f t="shared" si="5"/>
        <v>119.89381917998352</v>
      </c>
      <c r="N18" s="84">
        <f t="shared" si="5"/>
        <v>123.49063375538304</v>
      </c>
      <c r="O18" s="84">
        <f t="shared" si="5"/>
        <v>127.19535276804451</v>
      </c>
      <c r="P18" s="84">
        <f t="shared" si="5"/>
        <v>131.01121335108584</v>
      </c>
      <c r="Q18" s="84">
        <f t="shared" si="5"/>
        <v>134.94154975161842</v>
      </c>
      <c r="R18" s="84">
        <f t="shared" si="5"/>
        <v>138.989796244167</v>
      </c>
      <c r="S18" s="84">
        <f t="shared" si="5"/>
        <v>143.15949013149196</v>
      </c>
      <c r="T18" s="84">
        <f t="shared" si="5"/>
        <v>147.45427483543673</v>
      </c>
      <c r="U18" s="84">
        <f t="shared" si="5"/>
        <v>151.87790308049983</v>
      </c>
      <c r="V18" s="84">
        <f t="shared" si="5"/>
        <v>156.43424017291483</v>
      </c>
      <c r="W18" s="84">
        <f t="shared" si="5"/>
        <v>161.12726737810226</v>
      </c>
      <c r="X18" s="84">
        <f t="shared" si="5"/>
        <v>165.96108539944532</v>
      </c>
      <c r="Y18" s="84">
        <f t="shared" si="5"/>
        <v>170.9399179614287</v>
      </c>
      <c r="Z18" s="84">
        <f t="shared" si="5"/>
        <v>176.06811550027157</v>
      </c>
      <c r="AA18" s="84">
        <f t="shared" si="5"/>
        <v>181.35015896527969</v>
      </c>
      <c r="AB18" s="84">
        <f t="shared" si="5"/>
        <v>186.79066373423808</v>
      </c>
      <c r="AC18" s="84">
        <f t="shared" si="5"/>
        <v>192.39438364626525</v>
      </c>
      <c r="AD18" s="84">
        <f t="shared" si="5"/>
        <v>198.16621515565316</v>
      </c>
      <c r="AE18" s="84">
        <f t="shared" si="5"/>
        <v>204.11120161032278</v>
      </c>
      <c r="AF18" s="85">
        <f t="shared" si="5"/>
        <v>210.23453765863243</v>
      </c>
      <c r="AG18" s="74"/>
    </row>
    <row r="19" spans="2:33">
      <c r="B19" s="96" t="s">
        <v>413</v>
      </c>
      <c r="C19" s="84">
        <f>-C10</f>
        <v>-62.895975025556339</v>
      </c>
      <c r="D19" s="84">
        <f>-$C$10*(1+$E$10/100)^(D16-$C$16)</f>
        <v>-65.411814026578597</v>
      </c>
      <c r="E19" s="84">
        <f t="shared" ref="E19:AF19" si="6">-$C$10*(1+$E$10/100)^(E16-$C$16)</f>
        <v>-68.028286587641745</v>
      </c>
      <c r="F19" s="84">
        <f t="shared" si="6"/>
        <v>-70.749418051147416</v>
      </c>
      <c r="G19" s="84">
        <f t="shared" si="6"/>
        <v>-73.579394773193314</v>
      </c>
      <c r="H19" s="84">
        <f t="shared" si="6"/>
        <v>-76.522570564121054</v>
      </c>
      <c r="I19" s="84">
        <f t="shared" si="6"/>
        <v>-79.583473386685895</v>
      </c>
      <c r="J19" s="84">
        <f t="shared" si="6"/>
        <v>-82.766812322153328</v>
      </c>
      <c r="K19" s="84">
        <f t="shared" si="6"/>
        <v>-86.077484815039469</v>
      </c>
      <c r="L19" s="84">
        <f t="shared" si="6"/>
        <v>-89.520584207641065</v>
      </c>
      <c r="M19" s="84">
        <f t="shared" si="6"/>
        <v>-93.101407575946709</v>
      </c>
      <c r="N19" s="84">
        <f t="shared" si="6"/>
        <v>-96.825463878984564</v>
      </c>
      <c r="O19" s="84">
        <f t="shared" si="6"/>
        <v>-100.69848243414397</v>
      </c>
      <c r="P19" s="84">
        <f t="shared" si="6"/>
        <v>-104.72642173150973</v>
      </c>
      <c r="Q19" s="84">
        <f t="shared" si="6"/>
        <v>-108.91547860077011</v>
      </c>
      <c r="R19" s="84">
        <f t="shared" si="6"/>
        <v>-113.27209774480092</v>
      </c>
      <c r="S19" s="84">
        <f t="shared" si="6"/>
        <v>-117.80298165459298</v>
      </c>
      <c r="T19" s="84">
        <f t="shared" si="6"/>
        <v>-122.5151009207767</v>
      </c>
      <c r="U19" s="84">
        <f t="shared" si="6"/>
        <v>-127.41570495760779</v>
      </c>
      <c r="V19" s="84">
        <f t="shared" si="6"/>
        <v>-132.5123331559121</v>
      </c>
      <c r="W19" s="84">
        <f t="shared" si="6"/>
        <v>-137.81282648214858</v>
      </c>
      <c r="X19" s="84">
        <f t="shared" si="6"/>
        <v>-143.32533954143454</v>
      </c>
      <c r="Y19" s="84">
        <f t="shared" si="6"/>
        <v>-149.05835312309193</v>
      </c>
      <c r="Z19" s="84">
        <f t="shared" si="6"/>
        <v>-155.02068724801558</v>
      </c>
      <c r="AA19" s="84">
        <f t="shared" si="6"/>
        <v>-161.22151473793622</v>
      </c>
      <c r="AB19" s="84">
        <f t="shared" si="6"/>
        <v>-167.67037532745371</v>
      </c>
      <c r="AC19" s="84">
        <f t="shared" si="6"/>
        <v>-174.37719034055183</v>
      </c>
      <c r="AD19" s="84">
        <f t="shared" si="6"/>
        <v>-181.35227795417393</v>
      </c>
      <c r="AE19" s="84">
        <f t="shared" si="6"/>
        <v>-188.60636907234093</v>
      </c>
      <c r="AF19" s="85">
        <f t="shared" si="6"/>
        <v>-196.15062383523457</v>
      </c>
    </row>
    <row r="20" spans="2:33">
      <c r="B20" s="97" t="s">
        <v>415</v>
      </c>
      <c r="C20" s="84">
        <f>SUM(C17:C19)</f>
        <v>13.126167363546216</v>
      </c>
      <c r="D20" s="84">
        <f t="shared" ref="D20:AF20" si="7">SUM(D17:D19)</f>
        <v>13.286696201090578</v>
      </c>
      <c r="E20" s="84">
        <f t="shared" si="7"/>
        <v>13.426882513751053</v>
      </c>
      <c r="F20" s="84">
        <f t="shared" si="7"/>
        <v>13.545109690180709</v>
      </c>
      <c r="G20" s="84">
        <f t="shared" si="7"/>
        <v>13.63967236726819</v>
      </c>
      <c r="H20" s="84">
        <f t="shared" si="7"/>
        <v>13.708772157447825</v>
      </c>
      <c r="I20" s="84">
        <f t="shared" si="7"/>
        <v>13.750513183423607</v>
      </c>
      <c r="J20" s="84">
        <f t="shared" si="7"/>
        <v>13.762897411953006</v>
      </c>
      <c r="K20" s="84">
        <f t="shared" si="7"/>
        <v>13.743819777983589</v>
      </c>
      <c r="L20" s="84">
        <f t="shared" si="7"/>
        <v>13.691063090066237</v>
      </c>
      <c r="M20" s="84">
        <f t="shared" si="7"/>
        <v>26.792411604036815</v>
      </c>
      <c r="N20" s="84">
        <f t="shared" si="7"/>
        <v>26.66516987639848</v>
      </c>
      <c r="O20" s="84">
        <f t="shared" si="7"/>
        <v>26.496870333900546</v>
      </c>
      <c r="P20" s="84">
        <f t="shared" si="7"/>
        <v>26.284791619576112</v>
      </c>
      <c r="Q20" s="84">
        <f t="shared" si="7"/>
        <v>26.02607115084831</v>
      </c>
      <c r="R20" s="84">
        <f t="shared" si="7"/>
        <v>25.71769849936608</v>
      </c>
      <c r="S20" s="84">
        <f t="shared" si="7"/>
        <v>25.356508476898981</v>
      </c>
      <c r="T20" s="84">
        <f t="shared" si="7"/>
        <v>24.939173914660032</v>
      </c>
      <c r="U20" s="84">
        <f t="shared" si="7"/>
        <v>24.462198122892048</v>
      </c>
      <c r="V20" s="84">
        <f t="shared" si="7"/>
        <v>23.921907017002724</v>
      </c>
      <c r="W20" s="84">
        <f t="shared" si="7"/>
        <v>23.31444089595368</v>
      </c>
      <c r="X20" s="84">
        <f t="shared" si="7"/>
        <v>22.635745858010779</v>
      </c>
      <c r="Y20" s="84">
        <f t="shared" si="7"/>
        <v>21.881564838336772</v>
      </c>
      <c r="Z20" s="84">
        <f t="shared" si="7"/>
        <v>21.047428252255997</v>
      </c>
      <c r="AA20" s="84">
        <f t="shared" si="7"/>
        <v>20.128644227343472</v>
      </c>
      <c r="AB20" s="84">
        <f t="shared" si="7"/>
        <v>19.120288406784368</v>
      </c>
      <c r="AC20" s="84">
        <f t="shared" si="7"/>
        <v>18.01719330571342</v>
      </c>
      <c r="AD20" s="84">
        <f t="shared" si="7"/>
        <v>16.813937201479234</v>
      </c>
      <c r="AE20" s="84">
        <f t="shared" si="7"/>
        <v>15.504832537981855</v>
      </c>
      <c r="AF20" s="85">
        <f t="shared" si="7"/>
        <v>14.083913823397864</v>
      </c>
    </row>
    <row r="21" spans="2:33">
      <c r="B21" s="96" t="s">
        <v>423</v>
      </c>
      <c r="C21" s="84">
        <f>-$C$8</f>
        <v>-21.29608095415923</v>
      </c>
      <c r="D21" s="84">
        <f t="shared" ref="D21:I21" si="8">-$C$8</f>
        <v>-21.29608095415923</v>
      </c>
      <c r="E21" s="84">
        <f t="shared" si="8"/>
        <v>-21.29608095415923</v>
      </c>
      <c r="F21" s="84">
        <f t="shared" si="8"/>
        <v>-21.29608095415923</v>
      </c>
      <c r="G21" s="84">
        <f t="shared" si="8"/>
        <v>-21.29608095415923</v>
      </c>
      <c r="H21" s="84">
        <f t="shared" si="8"/>
        <v>-21.29608095415923</v>
      </c>
      <c r="I21" s="84">
        <f t="shared" si="8"/>
        <v>-21.29608095415923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82.81809259950812</v>
      </c>
      <c r="D22" s="99">
        <f>C22-C23-$C$7</f>
        <v>77.495692500009923</v>
      </c>
      <c r="E22" s="99">
        <f>D22-D23-$C$7</f>
        <v>71.667664391059404</v>
      </c>
      <c r="F22" s="99">
        <f t="shared" ref="F22:L22" si="9">E22-E23-$C$7</f>
        <v>65.285973611758578</v>
      </c>
      <c r="G22" s="99">
        <f t="shared" si="9"/>
        <v>58.298022208424179</v>
      </c>
      <c r="H22" s="99">
        <f>G22-G23-$C$7</f>
        <v>50.646215421773014</v>
      </c>
      <c r="I22" s="99">
        <f t="shared" si="9"/>
        <v>42.26748699038999</v>
      </c>
      <c r="J22" s="99">
        <f t="shared" si="9"/>
        <v>33.092779358025581</v>
      </c>
      <c r="K22" s="99">
        <f t="shared" si="9"/>
        <v>23.046474500586555</v>
      </c>
      <c r="L22" s="99">
        <f t="shared" si="9"/>
        <v>12.045770681690817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-7.8677187969532714</v>
      </c>
      <c r="D23" s="84">
        <f t="shared" ref="D23:L23" si="10">-D22*$C$5/100</f>
        <v>-7.3620907875009429</v>
      </c>
      <c r="E23" s="84">
        <f t="shared" si="10"/>
        <v>-6.808428117150644</v>
      </c>
      <c r="F23" s="84">
        <f t="shared" si="10"/>
        <v>-6.2021674931170647</v>
      </c>
      <c r="G23" s="84">
        <f t="shared" si="10"/>
        <v>-5.5383121098002972</v>
      </c>
      <c r="H23" s="84">
        <f t="shared" si="10"/>
        <v>-4.8113904650684365</v>
      </c>
      <c r="I23" s="84">
        <f t="shared" si="10"/>
        <v>-4.0154112640870485</v>
      </c>
      <c r="J23" s="84">
        <f t="shared" si="10"/>
        <v>-3.1438140390124301</v>
      </c>
      <c r="K23" s="84">
        <f t="shared" si="10"/>
        <v>-2.1894150775557226</v>
      </c>
      <c r="L23" s="84">
        <f t="shared" si="10"/>
        <v>-1.1443482147606276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1">C18+C19+C21+C23</f>
        <v>-2.8475134911148192</v>
      </c>
      <c r="D24" s="122">
        <f t="shared" si="11"/>
        <v>-2.1813566441181287</v>
      </c>
      <c r="E24" s="122">
        <f t="shared" si="11"/>
        <v>-1.4875076611073546</v>
      </c>
      <c r="F24" s="122">
        <f t="shared" si="11"/>
        <v>-0.76301986064411942</v>
      </c>
      <c r="G24" s="122">
        <f t="shared" si="11"/>
        <v>-4.6018002398708902E-3</v>
      </c>
      <c r="H24" s="122">
        <f t="shared" si="11"/>
        <v>0.79141963467162491</v>
      </c>
      <c r="I24" s="122">
        <f t="shared" si="11"/>
        <v>1.6291398616287944</v>
      </c>
      <c r="J24" s="122">
        <f t="shared" si="11"/>
        <v>23.809202269392042</v>
      </c>
      <c r="K24" s="122">
        <f t="shared" si="11"/>
        <v>24.744523596879333</v>
      </c>
      <c r="L24" s="122">
        <f t="shared" si="11"/>
        <v>25.736833771757077</v>
      </c>
      <c r="M24" s="122">
        <f t="shared" si="11"/>
        <v>26.792411604036815</v>
      </c>
      <c r="N24" s="122">
        <f t="shared" si="11"/>
        <v>26.66516987639848</v>
      </c>
      <c r="O24" s="122">
        <f t="shared" si="11"/>
        <v>26.496870333900546</v>
      </c>
      <c r="P24" s="122">
        <f t="shared" si="11"/>
        <v>26.284791619576112</v>
      </c>
      <c r="Q24" s="122">
        <f t="shared" si="11"/>
        <v>26.02607115084831</v>
      </c>
      <c r="R24" s="122">
        <f t="shared" si="11"/>
        <v>25.71769849936608</v>
      </c>
      <c r="S24" s="122">
        <f t="shared" si="11"/>
        <v>25.356508476898981</v>
      </c>
      <c r="T24" s="122">
        <f t="shared" si="11"/>
        <v>24.939173914660032</v>
      </c>
      <c r="U24" s="122">
        <f t="shared" si="11"/>
        <v>24.462198122892048</v>
      </c>
      <c r="V24" s="122">
        <f t="shared" si="11"/>
        <v>23.921907017002724</v>
      </c>
      <c r="W24" s="122">
        <f t="shared" si="11"/>
        <v>23.31444089595368</v>
      </c>
      <c r="X24" s="122">
        <f t="shared" si="11"/>
        <v>22.635745858010779</v>
      </c>
      <c r="Y24" s="122">
        <f t="shared" si="11"/>
        <v>21.881564838336772</v>
      </c>
      <c r="Z24" s="122">
        <f t="shared" si="11"/>
        <v>21.047428252255997</v>
      </c>
      <c r="AA24" s="122">
        <f t="shared" si="11"/>
        <v>20.128644227343472</v>
      </c>
      <c r="AB24" s="122">
        <f t="shared" si="11"/>
        <v>19.120288406784368</v>
      </c>
      <c r="AC24" s="122">
        <f t="shared" si="11"/>
        <v>18.01719330571342</v>
      </c>
      <c r="AD24" s="122">
        <f t="shared" si="11"/>
        <v>16.813937201479234</v>
      </c>
      <c r="AE24" s="122">
        <f t="shared" si="11"/>
        <v>15.504832537981855</v>
      </c>
      <c r="AF24" s="129">
        <f t="shared" si="11"/>
        <v>14.083913823397864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-2.8475134911148192</v>
      </c>
      <c r="E26" s="84">
        <f t="shared" ref="E26:AF26" si="12">D30</f>
        <v>-5.0288701352329479</v>
      </c>
      <c r="F26" s="84">
        <f t="shared" si="12"/>
        <v>-6.5163777963403025</v>
      </c>
      <c r="G26" s="84">
        <f t="shared" si="12"/>
        <v>-7.2793976569844219</v>
      </c>
      <c r="H26" s="84">
        <f t="shared" si="12"/>
        <v>-7.2839994572242928</v>
      </c>
      <c r="I26" s="84">
        <f t="shared" si="12"/>
        <v>-6.4925798225526679</v>
      </c>
      <c r="J26" s="84">
        <f t="shared" si="12"/>
        <v>-4.8634399609238734</v>
      </c>
      <c r="K26" s="84">
        <f t="shared" si="12"/>
        <v>0</v>
      </c>
      <c r="L26" s="84">
        <f t="shared" si="12"/>
        <v>0</v>
      </c>
      <c r="M26" s="84">
        <f t="shared" si="12"/>
        <v>0</v>
      </c>
      <c r="N26" s="84">
        <f t="shared" si="12"/>
        <v>0</v>
      </c>
      <c r="O26" s="84">
        <f t="shared" si="12"/>
        <v>0</v>
      </c>
      <c r="P26" s="84">
        <f t="shared" si="12"/>
        <v>0</v>
      </c>
      <c r="Q26" s="84">
        <f t="shared" si="12"/>
        <v>0</v>
      </c>
      <c r="R26" s="84">
        <f t="shared" si="12"/>
        <v>0</v>
      </c>
      <c r="S26" s="84">
        <f t="shared" si="12"/>
        <v>0</v>
      </c>
      <c r="T26" s="84">
        <f t="shared" si="12"/>
        <v>0</v>
      </c>
      <c r="U26" s="84">
        <f t="shared" si="12"/>
        <v>0</v>
      </c>
      <c r="V26" s="84">
        <f t="shared" si="12"/>
        <v>0</v>
      </c>
      <c r="W26" s="84">
        <f t="shared" si="12"/>
        <v>0</v>
      </c>
      <c r="X26" s="84">
        <f t="shared" si="12"/>
        <v>0</v>
      </c>
      <c r="Y26" s="84">
        <f t="shared" si="12"/>
        <v>0</v>
      </c>
      <c r="Z26" s="84">
        <f t="shared" si="12"/>
        <v>0</v>
      </c>
      <c r="AA26" s="84">
        <f t="shared" si="12"/>
        <v>0</v>
      </c>
      <c r="AB26" s="84">
        <f t="shared" si="12"/>
        <v>0</v>
      </c>
      <c r="AC26" s="84">
        <f t="shared" si="12"/>
        <v>0</v>
      </c>
      <c r="AD26" s="84">
        <f t="shared" si="12"/>
        <v>0</v>
      </c>
      <c r="AE26" s="84">
        <f t="shared" si="12"/>
        <v>0</v>
      </c>
      <c r="AF26" s="85">
        <f t="shared" si="12"/>
        <v>0</v>
      </c>
    </row>
    <row r="27" spans="2:33">
      <c r="B27" s="125" t="s">
        <v>455</v>
      </c>
      <c r="C27" s="122">
        <f>IF(C24&lt;0,C24,IF(C24&gt;0,0))</f>
        <v>-2.8475134911148192</v>
      </c>
      <c r="D27" s="122">
        <f t="shared" ref="D27:AF27" si="13">IF(D24&lt;0,D24,IF(D24&gt;0,0))</f>
        <v>-2.1813566441181287</v>
      </c>
      <c r="E27" s="122">
        <f t="shared" si="13"/>
        <v>-1.4875076611073546</v>
      </c>
      <c r="F27" s="122">
        <f t="shared" si="13"/>
        <v>-0.76301986064411942</v>
      </c>
      <c r="G27" s="122">
        <f t="shared" si="13"/>
        <v>-4.6018002398708902E-3</v>
      </c>
      <c r="H27" s="122">
        <f t="shared" si="13"/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22">
        <f t="shared" si="13"/>
        <v>0</v>
      </c>
      <c r="V27" s="122">
        <f t="shared" si="13"/>
        <v>0</v>
      </c>
      <c r="W27" s="122">
        <f t="shared" si="13"/>
        <v>0</v>
      </c>
      <c r="X27" s="122">
        <f t="shared" si="13"/>
        <v>0</v>
      </c>
      <c r="Y27" s="122">
        <f t="shared" si="13"/>
        <v>0</v>
      </c>
      <c r="Z27" s="122">
        <f t="shared" si="13"/>
        <v>0</v>
      </c>
      <c r="AA27" s="122">
        <f t="shared" si="13"/>
        <v>0</v>
      </c>
      <c r="AB27" s="122">
        <f t="shared" si="13"/>
        <v>0</v>
      </c>
      <c r="AC27" s="122">
        <f t="shared" si="13"/>
        <v>0</v>
      </c>
      <c r="AD27" s="122">
        <f t="shared" si="13"/>
        <v>0</v>
      </c>
      <c r="AE27" s="122">
        <f t="shared" si="13"/>
        <v>0</v>
      </c>
      <c r="AF27" s="129">
        <f t="shared" si="13"/>
        <v>0</v>
      </c>
    </row>
    <row r="28" spans="2:33">
      <c r="B28" s="124" t="s">
        <v>456</v>
      </c>
      <c r="C28" s="84">
        <f>C26+C27</f>
        <v>-2.8475134911148192</v>
      </c>
      <c r="D28" s="84">
        <f t="shared" ref="D28:AF28" si="14">D26+D27</f>
        <v>-5.0288701352329479</v>
      </c>
      <c r="E28" s="84">
        <f t="shared" si="14"/>
        <v>-6.5163777963403025</v>
      </c>
      <c r="F28" s="84">
        <f t="shared" si="14"/>
        <v>-7.2793976569844219</v>
      </c>
      <c r="G28" s="84">
        <f t="shared" si="14"/>
        <v>-7.2839994572242928</v>
      </c>
      <c r="H28" s="84">
        <f t="shared" si="14"/>
        <v>-7.2839994572242928</v>
      </c>
      <c r="I28" s="84">
        <f t="shared" si="14"/>
        <v>-6.4925798225526679</v>
      </c>
      <c r="J28" s="84">
        <f t="shared" si="14"/>
        <v>-4.8634399609238734</v>
      </c>
      <c r="K28" s="84">
        <f t="shared" si="14"/>
        <v>0</v>
      </c>
      <c r="L28" s="84">
        <f t="shared" si="14"/>
        <v>0</v>
      </c>
      <c r="M28" s="84">
        <f t="shared" si="14"/>
        <v>0</v>
      </c>
      <c r="N28" s="84">
        <f t="shared" si="14"/>
        <v>0</v>
      </c>
      <c r="O28" s="84">
        <f t="shared" si="14"/>
        <v>0</v>
      </c>
      <c r="P28" s="84">
        <f t="shared" si="14"/>
        <v>0</v>
      </c>
      <c r="Q28" s="84">
        <f t="shared" si="14"/>
        <v>0</v>
      </c>
      <c r="R28" s="84">
        <f t="shared" si="14"/>
        <v>0</v>
      </c>
      <c r="S28" s="84">
        <f t="shared" si="14"/>
        <v>0</v>
      </c>
      <c r="T28" s="84">
        <f t="shared" si="14"/>
        <v>0</v>
      </c>
      <c r="U28" s="84">
        <f t="shared" si="14"/>
        <v>0</v>
      </c>
      <c r="V28" s="84">
        <f t="shared" si="14"/>
        <v>0</v>
      </c>
      <c r="W28" s="84">
        <f t="shared" si="14"/>
        <v>0</v>
      </c>
      <c r="X28" s="84">
        <f t="shared" si="14"/>
        <v>0</v>
      </c>
      <c r="Y28" s="84">
        <f t="shared" si="14"/>
        <v>0</v>
      </c>
      <c r="Z28" s="84">
        <f t="shared" si="14"/>
        <v>0</v>
      </c>
      <c r="AA28" s="84">
        <f t="shared" si="14"/>
        <v>0</v>
      </c>
      <c r="AB28" s="84">
        <f t="shared" si="14"/>
        <v>0</v>
      </c>
      <c r="AC28" s="84">
        <f t="shared" si="14"/>
        <v>0</v>
      </c>
      <c r="AD28" s="84">
        <f t="shared" si="14"/>
        <v>0</v>
      </c>
      <c r="AE28" s="84">
        <f t="shared" si="14"/>
        <v>0</v>
      </c>
      <c r="AF28" s="85">
        <f t="shared" si="14"/>
        <v>0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5">IF(D24&lt;0,0,IF(D24+D28&lt;0,D24,IF(D24+D28&gt;0,-D28)))</f>
        <v>0</v>
      </c>
      <c r="E29" s="122">
        <f t="shared" si="15"/>
        <v>0</v>
      </c>
      <c r="F29" s="122">
        <f t="shared" si="15"/>
        <v>0</v>
      </c>
      <c r="G29" s="122">
        <f t="shared" si="15"/>
        <v>0</v>
      </c>
      <c r="H29" s="122">
        <f t="shared" si="15"/>
        <v>0.79141963467162491</v>
      </c>
      <c r="I29" s="122">
        <f t="shared" si="15"/>
        <v>1.6291398616287944</v>
      </c>
      <c r="J29" s="122">
        <f t="shared" si="15"/>
        <v>4.8634399609238734</v>
      </c>
      <c r="K29" s="122">
        <f t="shared" si="15"/>
        <v>0</v>
      </c>
      <c r="L29" s="122">
        <f t="shared" si="15"/>
        <v>0</v>
      </c>
      <c r="M29" s="122">
        <f t="shared" si="15"/>
        <v>0</v>
      </c>
      <c r="N29" s="122">
        <f t="shared" si="15"/>
        <v>0</v>
      </c>
      <c r="O29" s="122">
        <f t="shared" si="15"/>
        <v>0</v>
      </c>
      <c r="P29" s="122">
        <f t="shared" si="15"/>
        <v>0</v>
      </c>
      <c r="Q29" s="122">
        <f t="shared" si="15"/>
        <v>0</v>
      </c>
      <c r="R29" s="122">
        <f t="shared" si="15"/>
        <v>0</v>
      </c>
      <c r="S29" s="122">
        <f t="shared" si="15"/>
        <v>0</v>
      </c>
      <c r="T29" s="122">
        <f t="shared" si="15"/>
        <v>0</v>
      </c>
      <c r="U29" s="122">
        <f t="shared" si="15"/>
        <v>0</v>
      </c>
      <c r="V29" s="122">
        <f t="shared" si="15"/>
        <v>0</v>
      </c>
      <c r="W29" s="122">
        <f t="shared" si="15"/>
        <v>0</v>
      </c>
      <c r="X29" s="122">
        <f t="shared" si="15"/>
        <v>0</v>
      </c>
      <c r="Y29" s="122">
        <f t="shared" si="15"/>
        <v>0</v>
      </c>
      <c r="Z29" s="122">
        <f t="shared" si="15"/>
        <v>0</v>
      </c>
      <c r="AA29" s="122">
        <f t="shared" si="15"/>
        <v>0</v>
      </c>
      <c r="AB29" s="122">
        <f t="shared" si="15"/>
        <v>0</v>
      </c>
      <c r="AC29" s="122">
        <f t="shared" si="15"/>
        <v>0</v>
      </c>
      <c r="AD29" s="122">
        <f t="shared" si="15"/>
        <v>0</v>
      </c>
      <c r="AE29" s="122">
        <f t="shared" si="15"/>
        <v>0</v>
      </c>
      <c r="AF29" s="129">
        <f t="shared" si="15"/>
        <v>0</v>
      </c>
    </row>
    <row r="30" spans="2:33">
      <c r="B30" s="126" t="s">
        <v>458</v>
      </c>
      <c r="C30" s="127">
        <f>C28+C29</f>
        <v>-2.8475134911148192</v>
      </c>
      <c r="D30" s="127">
        <f t="shared" ref="D30:AF30" si="16">D28+D29</f>
        <v>-5.0288701352329479</v>
      </c>
      <c r="E30" s="127">
        <f t="shared" si="16"/>
        <v>-6.5163777963403025</v>
      </c>
      <c r="F30" s="127">
        <f t="shared" si="16"/>
        <v>-7.2793976569844219</v>
      </c>
      <c r="G30" s="127">
        <f t="shared" si="16"/>
        <v>-7.2839994572242928</v>
      </c>
      <c r="H30" s="127">
        <f t="shared" si="16"/>
        <v>-6.4925798225526679</v>
      </c>
      <c r="I30" s="127">
        <f t="shared" si="16"/>
        <v>-4.8634399609238734</v>
      </c>
      <c r="J30" s="127">
        <f t="shared" si="16"/>
        <v>0</v>
      </c>
      <c r="K30" s="127">
        <f t="shared" si="16"/>
        <v>0</v>
      </c>
      <c r="L30" s="127">
        <f t="shared" si="16"/>
        <v>0</v>
      </c>
      <c r="M30" s="127">
        <f t="shared" si="16"/>
        <v>0</v>
      </c>
      <c r="N30" s="127">
        <f t="shared" si="16"/>
        <v>0</v>
      </c>
      <c r="O30" s="127">
        <f t="shared" si="16"/>
        <v>0</v>
      </c>
      <c r="P30" s="127">
        <f t="shared" si="16"/>
        <v>0</v>
      </c>
      <c r="Q30" s="127">
        <f t="shared" si="16"/>
        <v>0</v>
      </c>
      <c r="R30" s="127">
        <f t="shared" si="16"/>
        <v>0</v>
      </c>
      <c r="S30" s="127">
        <f t="shared" si="16"/>
        <v>0</v>
      </c>
      <c r="T30" s="127">
        <f t="shared" si="16"/>
        <v>0</v>
      </c>
      <c r="U30" s="127">
        <f t="shared" si="16"/>
        <v>0</v>
      </c>
      <c r="V30" s="127">
        <f t="shared" si="16"/>
        <v>0</v>
      </c>
      <c r="W30" s="127">
        <f t="shared" si="16"/>
        <v>0</v>
      </c>
      <c r="X30" s="127">
        <f t="shared" si="16"/>
        <v>0</v>
      </c>
      <c r="Y30" s="127">
        <f t="shared" si="16"/>
        <v>0</v>
      </c>
      <c r="Z30" s="127">
        <f t="shared" si="16"/>
        <v>0</v>
      </c>
      <c r="AA30" s="127">
        <f t="shared" si="16"/>
        <v>0</v>
      </c>
      <c r="AB30" s="127">
        <f t="shared" si="16"/>
        <v>0</v>
      </c>
      <c r="AC30" s="127">
        <f t="shared" si="16"/>
        <v>0</v>
      </c>
      <c r="AD30" s="127">
        <f t="shared" si="16"/>
        <v>0</v>
      </c>
      <c r="AE30" s="127">
        <f t="shared" si="16"/>
        <v>0</v>
      </c>
      <c r="AF30" s="130">
        <f t="shared" si="16"/>
        <v>0</v>
      </c>
    </row>
    <row r="31" spans="2:33">
      <c r="B31" s="96" t="s">
        <v>427</v>
      </c>
      <c r="C31" s="84">
        <f>IF(C24&lt;0,0,IF(C24&gt;0,-(C24-C29)*$G$2/100))</f>
        <v>0</v>
      </c>
      <c r="D31" s="84">
        <f t="shared" ref="D31:AF31" si="17">IF(D24&lt;0,0,IF(D24&gt;0,-(D24-D29)*$G$2/100))</f>
        <v>0</v>
      </c>
      <c r="E31" s="84">
        <f t="shared" si="17"/>
        <v>0</v>
      </c>
      <c r="F31" s="84">
        <f t="shared" si="17"/>
        <v>0</v>
      </c>
      <c r="G31" s="84">
        <f t="shared" si="17"/>
        <v>0</v>
      </c>
      <c r="H31" s="84">
        <f t="shared" si="17"/>
        <v>0</v>
      </c>
      <c r="I31" s="84">
        <f t="shared" si="17"/>
        <v>0</v>
      </c>
      <c r="J31" s="84">
        <f t="shared" si="17"/>
        <v>-4.8690609132763196</v>
      </c>
      <c r="K31" s="84">
        <f t="shared" si="17"/>
        <v>-6.3593425643979877</v>
      </c>
      <c r="L31" s="84">
        <f t="shared" si="17"/>
        <v>-6.6143662793415681</v>
      </c>
      <c r="M31" s="84">
        <f t="shared" si="17"/>
        <v>-6.8856497822374614</v>
      </c>
      <c r="N31" s="84">
        <f t="shared" si="17"/>
        <v>-6.8529486582344088</v>
      </c>
      <c r="O31" s="84">
        <f t="shared" si="17"/>
        <v>-6.8096956758124403</v>
      </c>
      <c r="P31" s="84">
        <f t="shared" si="17"/>
        <v>-6.7551914462310609</v>
      </c>
      <c r="Q31" s="84">
        <f t="shared" si="17"/>
        <v>-6.6887002857680162</v>
      </c>
      <c r="R31" s="84">
        <f t="shared" si="17"/>
        <v>-6.6094485143370818</v>
      </c>
      <c r="S31" s="84">
        <f t="shared" si="17"/>
        <v>-6.5166226785630377</v>
      </c>
      <c r="T31" s="84">
        <f t="shared" si="17"/>
        <v>-6.409367696067628</v>
      </c>
      <c r="U31" s="84">
        <f t="shared" si="17"/>
        <v>-6.2867849175832555</v>
      </c>
      <c r="V31" s="84">
        <f t="shared" si="17"/>
        <v>-6.1479301033696991</v>
      </c>
      <c r="W31" s="84">
        <f t="shared" si="17"/>
        <v>-5.9918113102600952</v>
      </c>
      <c r="X31" s="84">
        <f t="shared" si="17"/>
        <v>-5.8173866855087706</v>
      </c>
      <c r="Y31" s="84">
        <f t="shared" si="17"/>
        <v>-5.6235621634525499</v>
      </c>
      <c r="Z31" s="84">
        <f t="shared" si="17"/>
        <v>-5.4091890608297915</v>
      </c>
      <c r="AA31" s="84">
        <f t="shared" si="17"/>
        <v>-5.1730615664272719</v>
      </c>
      <c r="AB31" s="84">
        <f t="shared" si="17"/>
        <v>-4.9139141205435823</v>
      </c>
      <c r="AC31" s="84">
        <f t="shared" si="17"/>
        <v>-4.6304186795683488</v>
      </c>
      <c r="AD31" s="84">
        <f t="shared" si="17"/>
        <v>-4.3211818607801629</v>
      </c>
      <c r="AE31" s="84">
        <f t="shared" si="17"/>
        <v>-3.9847419622613365</v>
      </c>
      <c r="AF31" s="85">
        <f t="shared" si="17"/>
        <v>-3.6195658526132513</v>
      </c>
      <c r="AG31" s="101"/>
    </row>
    <row r="32" spans="2:33">
      <c r="B32" s="27" t="s">
        <v>428</v>
      </c>
      <c r="C32" s="84">
        <f t="shared" ref="C32:AF32" si="18">C20+C31</f>
        <v>13.126167363546216</v>
      </c>
      <c r="D32" s="84">
        <f t="shared" si="18"/>
        <v>13.286696201090578</v>
      </c>
      <c r="E32" s="84">
        <f t="shared" si="18"/>
        <v>13.426882513751053</v>
      </c>
      <c r="F32" s="84">
        <f t="shared" si="18"/>
        <v>13.545109690180709</v>
      </c>
      <c r="G32" s="84">
        <f t="shared" si="18"/>
        <v>13.63967236726819</v>
      </c>
      <c r="H32" s="84">
        <f t="shared" si="18"/>
        <v>13.708772157447825</v>
      </c>
      <c r="I32" s="84">
        <f t="shared" si="18"/>
        <v>13.750513183423607</v>
      </c>
      <c r="J32" s="84">
        <f t="shared" si="18"/>
        <v>8.893836498676686</v>
      </c>
      <c r="K32" s="84">
        <f t="shared" si="18"/>
        <v>7.3844772135856012</v>
      </c>
      <c r="L32" s="84">
        <f t="shared" si="18"/>
        <v>7.0766968107246688</v>
      </c>
      <c r="M32" s="84">
        <f t="shared" si="18"/>
        <v>19.906761821799353</v>
      </c>
      <c r="N32" s="84">
        <f t="shared" si="18"/>
        <v>19.812221218164069</v>
      </c>
      <c r="O32" s="84">
        <f t="shared" si="18"/>
        <v>19.687174658088104</v>
      </c>
      <c r="P32" s="84">
        <f t="shared" si="18"/>
        <v>19.529600173345052</v>
      </c>
      <c r="Q32" s="84">
        <f t="shared" si="18"/>
        <v>19.337370865080295</v>
      </c>
      <c r="R32" s="84">
        <f t="shared" si="18"/>
        <v>19.108249985028998</v>
      </c>
      <c r="S32" s="84">
        <f t="shared" si="18"/>
        <v>18.839885798335942</v>
      </c>
      <c r="T32" s="84">
        <f t="shared" si="18"/>
        <v>18.529806218592405</v>
      </c>
      <c r="U32" s="84">
        <f t="shared" si="18"/>
        <v>18.175413205308793</v>
      </c>
      <c r="V32" s="84">
        <f t="shared" si="18"/>
        <v>17.773976913633025</v>
      </c>
      <c r="W32" s="84">
        <f t="shared" si="18"/>
        <v>17.322629585693583</v>
      </c>
      <c r="X32" s="84">
        <f t="shared" si="18"/>
        <v>16.818359172502007</v>
      </c>
      <c r="Y32" s="84">
        <f t="shared" si="18"/>
        <v>16.258002674884221</v>
      </c>
      <c r="Z32" s="84">
        <f t="shared" si="18"/>
        <v>15.638239191426205</v>
      </c>
      <c r="AA32" s="84">
        <f t="shared" si="18"/>
        <v>14.9555826609162</v>
      </c>
      <c r="AB32" s="84">
        <f t="shared" si="18"/>
        <v>14.206374286240786</v>
      </c>
      <c r="AC32" s="84">
        <f t="shared" si="18"/>
        <v>13.386774626145071</v>
      </c>
      <c r="AD32" s="84">
        <f t="shared" si="18"/>
        <v>12.492755340699071</v>
      </c>
      <c r="AE32" s="84">
        <f t="shared" si="18"/>
        <v>11.520090575720518</v>
      </c>
      <c r="AF32" s="85">
        <f t="shared" si="18"/>
        <v>10.464347970784614</v>
      </c>
    </row>
    <row r="33" spans="2:33">
      <c r="B33" s="27" t="s">
        <v>422</v>
      </c>
      <c r="C33" s="84">
        <f>G4</f>
        <v>0</v>
      </c>
      <c r="D33" s="84">
        <f t="shared" ref="D33:AF33" si="19">$G$4*(1+$E$9/100)^(D16-$C$16)</f>
        <v>0</v>
      </c>
      <c r="E33" s="84">
        <f t="shared" si="19"/>
        <v>0</v>
      </c>
      <c r="F33" s="84">
        <f t="shared" si="19"/>
        <v>0</v>
      </c>
      <c r="G33" s="84">
        <f t="shared" si="19"/>
        <v>0</v>
      </c>
      <c r="H33" s="84">
        <f t="shared" si="19"/>
        <v>0</v>
      </c>
      <c r="I33" s="84">
        <f t="shared" si="19"/>
        <v>0</v>
      </c>
      <c r="J33" s="84">
        <f t="shared" si="19"/>
        <v>0</v>
      </c>
      <c r="K33" s="84">
        <f t="shared" si="19"/>
        <v>0</v>
      </c>
      <c r="L33" s="84">
        <f t="shared" si="19"/>
        <v>0</v>
      </c>
      <c r="M33" s="84">
        <f t="shared" si="19"/>
        <v>0</v>
      </c>
      <c r="N33" s="84">
        <f t="shared" si="19"/>
        <v>0</v>
      </c>
      <c r="O33" s="84">
        <f t="shared" si="19"/>
        <v>0</v>
      </c>
      <c r="P33" s="84">
        <f t="shared" si="19"/>
        <v>0</v>
      </c>
      <c r="Q33" s="84">
        <f t="shared" si="19"/>
        <v>0</v>
      </c>
      <c r="R33" s="84">
        <f t="shared" si="19"/>
        <v>0</v>
      </c>
      <c r="S33" s="84">
        <f t="shared" si="19"/>
        <v>0</v>
      </c>
      <c r="T33" s="84">
        <f t="shared" si="19"/>
        <v>0</v>
      </c>
      <c r="U33" s="84">
        <f t="shared" si="19"/>
        <v>0</v>
      </c>
      <c r="V33" s="84">
        <f t="shared" si="19"/>
        <v>0</v>
      </c>
      <c r="W33" s="84">
        <f t="shared" si="19"/>
        <v>0</v>
      </c>
      <c r="X33" s="84">
        <f t="shared" si="19"/>
        <v>0</v>
      </c>
      <c r="Y33" s="84">
        <f t="shared" si="19"/>
        <v>0</v>
      </c>
      <c r="Z33" s="84">
        <f t="shared" si="19"/>
        <v>0</v>
      </c>
      <c r="AA33" s="84">
        <f t="shared" si="19"/>
        <v>0</v>
      </c>
      <c r="AB33" s="84">
        <f t="shared" si="19"/>
        <v>0</v>
      </c>
      <c r="AC33" s="84">
        <f t="shared" si="19"/>
        <v>0</v>
      </c>
      <c r="AD33" s="84">
        <f t="shared" si="19"/>
        <v>0</v>
      </c>
      <c r="AE33" s="84">
        <f t="shared" si="19"/>
        <v>0</v>
      </c>
      <c r="AF33" s="85">
        <f t="shared" si="19"/>
        <v>0</v>
      </c>
    </row>
    <row r="34" spans="2:33">
      <c r="B34" s="27" t="s">
        <v>430</v>
      </c>
      <c r="C34" s="84">
        <f>C32+C33</f>
        <v>13.126167363546216</v>
      </c>
      <c r="D34" s="84">
        <f t="shared" ref="D34:AF34" si="20">D32+D33</f>
        <v>13.286696201090578</v>
      </c>
      <c r="E34" s="84">
        <f>E32+E33</f>
        <v>13.426882513751053</v>
      </c>
      <c r="F34" s="84">
        <f t="shared" si="20"/>
        <v>13.545109690180709</v>
      </c>
      <c r="G34" s="84">
        <f t="shared" si="20"/>
        <v>13.63967236726819</v>
      </c>
      <c r="H34" s="84">
        <f t="shared" si="20"/>
        <v>13.708772157447825</v>
      </c>
      <c r="I34" s="84">
        <f t="shared" si="20"/>
        <v>13.750513183423607</v>
      </c>
      <c r="J34" s="84">
        <f t="shared" si="20"/>
        <v>8.893836498676686</v>
      </c>
      <c r="K34" s="84">
        <f t="shared" si="20"/>
        <v>7.3844772135856012</v>
      </c>
      <c r="L34" s="84">
        <f t="shared" si="20"/>
        <v>7.0766968107246688</v>
      </c>
      <c r="M34" s="84">
        <f t="shared" si="20"/>
        <v>19.906761821799353</v>
      </c>
      <c r="N34" s="84">
        <f t="shared" si="20"/>
        <v>19.812221218164069</v>
      </c>
      <c r="O34" s="84">
        <f t="shared" si="20"/>
        <v>19.687174658088104</v>
      </c>
      <c r="P34" s="84">
        <f t="shared" si="20"/>
        <v>19.529600173345052</v>
      </c>
      <c r="Q34" s="84">
        <f t="shared" si="20"/>
        <v>19.337370865080295</v>
      </c>
      <c r="R34" s="84">
        <f t="shared" si="20"/>
        <v>19.108249985028998</v>
      </c>
      <c r="S34" s="84">
        <f t="shared" si="20"/>
        <v>18.839885798335942</v>
      </c>
      <c r="T34" s="84">
        <f t="shared" si="20"/>
        <v>18.529806218592405</v>
      </c>
      <c r="U34" s="84">
        <f t="shared" si="20"/>
        <v>18.175413205308793</v>
      </c>
      <c r="V34" s="84">
        <f t="shared" si="20"/>
        <v>17.773976913633025</v>
      </c>
      <c r="W34" s="84">
        <f t="shared" si="20"/>
        <v>17.322629585693583</v>
      </c>
      <c r="X34" s="84">
        <f t="shared" si="20"/>
        <v>16.818359172502007</v>
      </c>
      <c r="Y34" s="84">
        <f t="shared" si="20"/>
        <v>16.258002674884221</v>
      </c>
      <c r="Z34" s="84">
        <f t="shared" si="20"/>
        <v>15.638239191426205</v>
      </c>
      <c r="AA34" s="84">
        <f t="shared" si="20"/>
        <v>14.9555826609162</v>
      </c>
      <c r="AB34" s="84">
        <f t="shared" si="20"/>
        <v>14.206374286240786</v>
      </c>
      <c r="AC34" s="84">
        <f t="shared" si="20"/>
        <v>13.386774626145071</v>
      </c>
      <c r="AD34" s="84">
        <f t="shared" si="20"/>
        <v>12.492755340699071</v>
      </c>
      <c r="AE34" s="84">
        <f t="shared" si="20"/>
        <v>11.520090575720518</v>
      </c>
      <c r="AF34" s="85">
        <f t="shared" si="20"/>
        <v>10.464347970784614</v>
      </c>
    </row>
    <row r="35" spans="2:33">
      <c r="B35" s="27" t="s">
        <v>431</v>
      </c>
      <c r="C35" s="84">
        <f>C34-E4</f>
        <v>-69.691925235961904</v>
      </c>
      <c r="D35" s="84">
        <f>D34</f>
        <v>13.286696201090578</v>
      </c>
      <c r="E35" s="84">
        <f>E34</f>
        <v>13.426882513751053</v>
      </c>
      <c r="F35" s="84">
        <f t="shared" ref="F35:AF35" si="21">F34</f>
        <v>13.545109690180709</v>
      </c>
      <c r="G35" s="84">
        <f t="shared" si="21"/>
        <v>13.63967236726819</v>
      </c>
      <c r="H35" s="84">
        <f t="shared" si="21"/>
        <v>13.708772157447825</v>
      </c>
      <c r="I35" s="84">
        <f t="shared" si="21"/>
        <v>13.750513183423607</v>
      </c>
      <c r="J35" s="84">
        <f t="shared" si="21"/>
        <v>8.893836498676686</v>
      </c>
      <c r="K35" s="84">
        <f t="shared" si="21"/>
        <v>7.3844772135856012</v>
      </c>
      <c r="L35" s="84">
        <f t="shared" si="21"/>
        <v>7.0766968107246688</v>
      </c>
      <c r="M35" s="84">
        <f t="shared" si="21"/>
        <v>19.906761821799353</v>
      </c>
      <c r="N35" s="84">
        <f t="shared" si="21"/>
        <v>19.812221218164069</v>
      </c>
      <c r="O35" s="84">
        <f t="shared" si="21"/>
        <v>19.687174658088104</v>
      </c>
      <c r="P35" s="84">
        <f t="shared" si="21"/>
        <v>19.529600173345052</v>
      </c>
      <c r="Q35" s="84">
        <f t="shared" si="21"/>
        <v>19.337370865080295</v>
      </c>
      <c r="R35" s="84">
        <f t="shared" si="21"/>
        <v>19.108249985028998</v>
      </c>
      <c r="S35" s="84">
        <f t="shared" si="21"/>
        <v>18.839885798335942</v>
      </c>
      <c r="T35" s="84">
        <f t="shared" si="21"/>
        <v>18.529806218592405</v>
      </c>
      <c r="U35" s="84">
        <f t="shared" si="21"/>
        <v>18.175413205308793</v>
      </c>
      <c r="V35" s="84">
        <f t="shared" si="21"/>
        <v>17.773976913633025</v>
      </c>
      <c r="W35" s="84">
        <f t="shared" si="21"/>
        <v>17.322629585693583</v>
      </c>
      <c r="X35" s="84">
        <f t="shared" si="21"/>
        <v>16.818359172502007</v>
      </c>
      <c r="Y35" s="84">
        <f t="shared" si="21"/>
        <v>16.258002674884221</v>
      </c>
      <c r="Z35" s="84">
        <f t="shared" si="21"/>
        <v>15.638239191426205</v>
      </c>
      <c r="AA35" s="84">
        <f t="shared" si="21"/>
        <v>14.9555826609162</v>
      </c>
      <c r="AB35" s="84">
        <f t="shared" si="21"/>
        <v>14.206374286240786</v>
      </c>
      <c r="AC35" s="84">
        <f t="shared" si="21"/>
        <v>13.386774626145071</v>
      </c>
      <c r="AD35" s="84">
        <f t="shared" si="21"/>
        <v>12.492755340699071</v>
      </c>
      <c r="AE35" s="84">
        <f t="shared" si="21"/>
        <v>11.520090575720518</v>
      </c>
      <c r="AF35" s="85">
        <f t="shared" si="21"/>
        <v>10.464347970784614</v>
      </c>
      <c r="AG35" s="101"/>
    </row>
    <row r="36" spans="2:33">
      <c r="B36" s="27" t="s">
        <v>432</v>
      </c>
      <c r="C36" s="84">
        <f>C35</f>
        <v>-69.691925235961904</v>
      </c>
      <c r="D36" s="84">
        <f t="shared" ref="D36:AF36" si="22">D35/(1+$E$5/100)^(D16-$C$16)</f>
        <v>11.553648870513546</v>
      </c>
      <c r="E36" s="84">
        <f t="shared" si="22"/>
        <v>10.152652184310817</v>
      </c>
      <c r="F36" s="84">
        <f t="shared" si="22"/>
        <v>8.9061294913656379</v>
      </c>
      <c r="G36" s="84">
        <f t="shared" si="22"/>
        <v>7.7985269448112007</v>
      </c>
      <c r="H36" s="84">
        <f t="shared" si="22"/>
        <v>6.8156825861880037</v>
      </c>
      <c r="I36" s="84">
        <f t="shared" si="22"/>
        <v>5.9447263071396907</v>
      </c>
      <c r="J36" s="84">
        <f t="shared" si="22"/>
        <v>3.3435225668724762</v>
      </c>
      <c r="K36" s="84">
        <f t="shared" si="22"/>
        <v>2.4139987000477379</v>
      </c>
      <c r="L36" s="84">
        <f t="shared" si="22"/>
        <v>2.0116389046934011</v>
      </c>
      <c r="M36" s="84">
        <f t="shared" si="22"/>
        <v>4.9206470707594523</v>
      </c>
      <c r="N36" s="84">
        <f t="shared" si="22"/>
        <v>4.2585026777680701</v>
      </c>
      <c r="O36" s="84">
        <f t="shared" si="22"/>
        <v>3.6796737105704</v>
      </c>
      <c r="P36" s="84">
        <f t="shared" si="22"/>
        <v>3.174106011030386</v>
      </c>
      <c r="Q36" s="84">
        <f t="shared" si="22"/>
        <v>2.7329246733420218</v>
      </c>
      <c r="R36" s="84">
        <f t="shared" si="22"/>
        <v>2.3482985450850173</v>
      </c>
      <c r="S36" s="84">
        <f t="shared" si="22"/>
        <v>2.0133200578381096</v>
      </c>
      <c r="T36" s="84">
        <f t="shared" si="22"/>
        <v>1.7218986738665838</v>
      </c>
      <c r="U36" s="84">
        <f t="shared" si="22"/>
        <v>1.4686664250912798</v>
      </c>
      <c r="V36" s="84">
        <f t="shared" si="22"/>
        <v>1.2488941894018202</v>
      </c>
      <c r="W36" s="84">
        <f t="shared" si="22"/>
        <v>1.0584174996697575</v>
      </c>
      <c r="X36" s="84">
        <f t="shared" si="22"/>
        <v>0.89357081457589926</v>
      </c>
      <c r="Y36" s="84">
        <f t="shared" si="22"/>
        <v>0.75112929939635997</v>
      </c>
      <c r="Z36" s="84">
        <f t="shared" si="22"/>
        <v>0.62825727080478833</v>
      </c>
      <c r="AA36" s="84">
        <f t="shared" si="22"/>
        <v>0.52246255397914154</v>
      </c>
      <c r="AB36" s="84">
        <f t="shared" si="22"/>
        <v>0.43155608412949514</v>
      </c>
      <c r="AC36" s="84">
        <f t="shared" si="22"/>
        <v>0.35361615912877836</v>
      </c>
      <c r="AD36" s="84">
        <f t="shared" si="22"/>
        <v>0.28695681624691033</v>
      </c>
      <c r="AE36" s="84">
        <f t="shared" si="22"/>
        <v>0.23009986496561333</v>
      </c>
      <c r="AF36" s="85">
        <f t="shared" si="22"/>
        <v>0.18175016029259122</v>
      </c>
      <c r="AG36" s="101"/>
    </row>
    <row r="37" spans="2:33" ht="15.75" thickBot="1">
      <c r="B37" s="29" t="s">
        <v>433</v>
      </c>
      <c r="C37" s="87">
        <f>C36</f>
        <v>-69.691925235961904</v>
      </c>
      <c r="D37" s="87">
        <f>C37+D36</f>
        <v>-58.138276365448355</v>
      </c>
      <c r="E37" s="87">
        <f t="shared" ref="E37:AF37" si="23">D37+E36</f>
        <v>-47.985624181137538</v>
      </c>
      <c r="F37" s="87">
        <f t="shared" si="23"/>
        <v>-39.079494689771899</v>
      </c>
      <c r="G37" s="87">
        <f t="shared" si="23"/>
        <v>-31.280967744960698</v>
      </c>
      <c r="H37" s="87">
        <f t="shared" si="23"/>
        <v>-24.465285158772694</v>
      </c>
      <c r="I37" s="87">
        <f t="shared" si="23"/>
        <v>-18.520558851633005</v>
      </c>
      <c r="J37" s="87">
        <f t="shared" si="23"/>
        <v>-15.177036284760529</v>
      </c>
      <c r="K37" s="87">
        <f t="shared" si="23"/>
        <v>-12.763037584712791</v>
      </c>
      <c r="L37" s="87">
        <f t="shared" si="23"/>
        <v>-10.75139868001939</v>
      </c>
      <c r="M37" s="87">
        <f t="shared" si="23"/>
        <v>-5.8307516092599379</v>
      </c>
      <c r="N37" s="87">
        <f t="shared" si="23"/>
        <v>-1.5722489314918677</v>
      </c>
      <c r="O37" s="87">
        <f t="shared" si="23"/>
        <v>2.1074247790785323</v>
      </c>
      <c r="P37" s="87">
        <f t="shared" si="23"/>
        <v>5.2815307901089188</v>
      </c>
      <c r="Q37" s="87">
        <f t="shared" si="23"/>
        <v>8.0144554634509397</v>
      </c>
      <c r="R37" s="87">
        <f t="shared" si="23"/>
        <v>10.362754008535957</v>
      </c>
      <c r="S37" s="87">
        <f t="shared" si="23"/>
        <v>12.376074066374066</v>
      </c>
      <c r="T37" s="87">
        <f t="shared" si="23"/>
        <v>14.09797274024065</v>
      </c>
      <c r="U37" s="87">
        <f t="shared" si="23"/>
        <v>15.56663916533193</v>
      </c>
      <c r="V37" s="87">
        <f t="shared" si="23"/>
        <v>16.815533354733748</v>
      </c>
      <c r="W37" s="87">
        <f t="shared" si="23"/>
        <v>17.873950854403507</v>
      </c>
      <c r="X37" s="87">
        <f t="shared" si="23"/>
        <v>18.767521668979406</v>
      </c>
      <c r="Y37" s="87">
        <f t="shared" si="23"/>
        <v>19.518650968375766</v>
      </c>
      <c r="Z37" s="87">
        <f t="shared" si="23"/>
        <v>20.146908239180554</v>
      </c>
      <c r="AA37" s="87">
        <f t="shared" si="23"/>
        <v>20.669370793159697</v>
      </c>
      <c r="AB37" s="87">
        <f t="shared" si="23"/>
        <v>21.100926877289194</v>
      </c>
      <c r="AC37" s="87">
        <f t="shared" si="23"/>
        <v>21.454543036417974</v>
      </c>
      <c r="AD37" s="87">
        <f t="shared" si="23"/>
        <v>21.741499852664884</v>
      </c>
      <c r="AE37" s="87">
        <f t="shared" si="23"/>
        <v>21.971599717630497</v>
      </c>
      <c r="AF37" s="88">
        <f t="shared" si="23"/>
        <v>22.153349877923088</v>
      </c>
    </row>
    <row r="38" spans="2:33">
      <c r="B38" s="25" t="s">
        <v>430</v>
      </c>
      <c r="C38" s="81">
        <f>C32</f>
        <v>13.126167363546216</v>
      </c>
      <c r="D38" s="81">
        <f t="shared" ref="D38:AF38" si="24">D32</f>
        <v>13.286696201090578</v>
      </c>
      <c r="E38" s="81">
        <f t="shared" si="24"/>
        <v>13.426882513751053</v>
      </c>
      <c r="F38" s="81">
        <f t="shared" si="24"/>
        <v>13.545109690180709</v>
      </c>
      <c r="G38" s="81">
        <f t="shared" si="24"/>
        <v>13.63967236726819</v>
      </c>
      <c r="H38" s="81">
        <f t="shared" si="24"/>
        <v>13.708772157447825</v>
      </c>
      <c r="I38" s="81">
        <f t="shared" si="24"/>
        <v>13.750513183423607</v>
      </c>
      <c r="J38" s="81">
        <f t="shared" si="24"/>
        <v>8.893836498676686</v>
      </c>
      <c r="K38" s="81">
        <f t="shared" si="24"/>
        <v>7.3844772135856012</v>
      </c>
      <c r="L38" s="81">
        <f t="shared" si="24"/>
        <v>7.0766968107246688</v>
      </c>
      <c r="M38" s="81">
        <f t="shared" si="24"/>
        <v>19.906761821799353</v>
      </c>
      <c r="N38" s="81">
        <f t="shared" si="24"/>
        <v>19.812221218164069</v>
      </c>
      <c r="O38" s="81">
        <f t="shared" si="24"/>
        <v>19.687174658088104</v>
      </c>
      <c r="P38" s="81">
        <f t="shared" si="24"/>
        <v>19.529600173345052</v>
      </c>
      <c r="Q38" s="81">
        <f t="shared" si="24"/>
        <v>19.337370865080295</v>
      </c>
      <c r="R38" s="81">
        <f t="shared" si="24"/>
        <v>19.108249985028998</v>
      </c>
      <c r="S38" s="81">
        <f t="shared" si="24"/>
        <v>18.839885798335942</v>
      </c>
      <c r="T38" s="81">
        <f t="shared" si="24"/>
        <v>18.529806218592405</v>
      </c>
      <c r="U38" s="81">
        <f t="shared" si="24"/>
        <v>18.175413205308793</v>
      </c>
      <c r="V38" s="81">
        <f t="shared" si="24"/>
        <v>17.773976913633025</v>
      </c>
      <c r="W38" s="81">
        <f t="shared" si="24"/>
        <v>17.322629585693583</v>
      </c>
      <c r="X38" s="81">
        <f t="shared" si="24"/>
        <v>16.818359172502007</v>
      </c>
      <c r="Y38" s="81">
        <f t="shared" si="24"/>
        <v>16.258002674884221</v>
      </c>
      <c r="Z38" s="81">
        <f t="shared" si="24"/>
        <v>15.638239191426205</v>
      </c>
      <c r="AA38" s="81">
        <f t="shared" si="24"/>
        <v>14.9555826609162</v>
      </c>
      <c r="AB38" s="81">
        <f t="shared" si="24"/>
        <v>14.206374286240786</v>
      </c>
      <c r="AC38" s="81">
        <f t="shared" si="24"/>
        <v>13.386774626145071</v>
      </c>
      <c r="AD38" s="81">
        <f t="shared" si="24"/>
        <v>12.492755340699071</v>
      </c>
      <c r="AE38" s="81">
        <f t="shared" si="24"/>
        <v>11.520090575720518</v>
      </c>
      <c r="AF38" s="82">
        <f t="shared" si="24"/>
        <v>10.464347970784614</v>
      </c>
    </row>
    <row r="39" spans="2:33">
      <c r="B39" s="27" t="s">
        <v>431</v>
      </c>
      <c r="C39" s="84">
        <f>C38-E4</f>
        <v>-69.691925235961904</v>
      </c>
      <c r="D39" s="84">
        <f>D38</f>
        <v>13.286696201090578</v>
      </c>
      <c r="E39" s="84">
        <f t="shared" ref="E39:AF39" si="25">E38</f>
        <v>13.426882513751053</v>
      </c>
      <c r="F39" s="84">
        <f t="shared" si="25"/>
        <v>13.545109690180709</v>
      </c>
      <c r="G39" s="84">
        <f t="shared" si="25"/>
        <v>13.63967236726819</v>
      </c>
      <c r="H39" s="84">
        <f t="shared" si="25"/>
        <v>13.708772157447825</v>
      </c>
      <c r="I39" s="84">
        <f t="shared" si="25"/>
        <v>13.750513183423607</v>
      </c>
      <c r="J39" s="84">
        <f t="shared" si="25"/>
        <v>8.893836498676686</v>
      </c>
      <c r="K39" s="84">
        <f t="shared" si="25"/>
        <v>7.3844772135856012</v>
      </c>
      <c r="L39" s="84">
        <f t="shared" si="25"/>
        <v>7.0766968107246688</v>
      </c>
      <c r="M39" s="84">
        <f t="shared" si="25"/>
        <v>19.906761821799353</v>
      </c>
      <c r="N39" s="84">
        <f t="shared" si="25"/>
        <v>19.812221218164069</v>
      </c>
      <c r="O39" s="84">
        <f t="shared" si="25"/>
        <v>19.687174658088104</v>
      </c>
      <c r="P39" s="84">
        <f t="shared" si="25"/>
        <v>19.529600173345052</v>
      </c>
      <c r="Q39" s="84">
        <f t="shared" si="25"/>
        <v>19.337370865080295</v>
      </c>
      <c r="R39" s="84">
        <f t="shared" si="25"/>
        <v>19.108249985028998</v>
      </c>
      <c r="S39" s="84">
        <f t="shared" si="25"/>
        <v>18.839885798335942</v>
      </c>
      <c r="T39" s="84">
        <f t="shared" si="25"/>
        <v>18.529806218592405</v>
      </c>
      <c r="U39" s="84">
        <f t="shared" si="25"/>
        <v>18.175413205308793</v>
      </c>
      <c r="V39" s="84">
        <f t="shared" si="25"/>
        <v>17.773976913633025</v>
      </c>
      <c r="W39" s="84">
        <f t="shared" si="25"/>
        <v>17.322629585693583</v>
      </c>
      <c r="X39" s="84">
        <f t="shared" si="25"/>
        <v>16.818359172502007</v>
      </c>
      <c r="Y39" s="84">
        <f t="shared" si="25"/>
        <v>16.258002674884221</v>
      </c>
      <c r="Z39" s="84">
        <f t="shared" si="25"/>
        <v>15.638239191426205</v>
      </c>
      <c r="AA39" s="84">
        <f t="shared" si="25"/>
        <v>14.9555826609162</v>
      </c>
      <c r="AB39" s="84">
        <f t="shared" si="25"/>
        <v>14.206374286240786</v>
      </c>
      <c r="AC39" s="84">
        <f t="shared" si="25"/>
        <v>13.386774626145071</v>
      </c>
      <c r="AD39" s="84">
        <f t="shared" si="25"/>
        <v>12.492755340699071</v>
      </c>
      <c r="AE39" s="84">
        <f t="shared" si="25"/>
        <v>11.520090575720518</v>
      </c>
      <c r="AF39" s="85">
        <f t="shared" si="25"/>
        <v>10.464347970784614</v>
      </c>
    </row>
    <row r="40" spans="2:33">
      <c r="B40" s="27" t="s">
        <v>432</v>
      </c>
      <c r="C40" s="84">
        <f>C39</f>
        <v>-69.691925235961904</v>
      </c>
      <c r="D40" s="84">
        <f>D39/(1+$E$5/100)^(D16-$C$16)</f>
        <v>11.553648870513546</v>
      </c>
      <c r="E40" s="84">
        <f t="shared" ref="E40:AF40" si="26">E39/(1+$E$5/100)^(E16-$C$16)</f>
        <v>10.152652184310817</v>
      </c>
      <c r="F40" s="84">
        <f t="shared" si="26"/>
        <v>8.9061294913656379</v>
      </c>
      <c r="G40" s="84">
        <f t="shared" si="26"/>
        <v>7.7985269448112007</v>
      </c>
      <c r="H40" s="84">
        <f t="shared" si="26"/>
        <v>6.8156825861880037</v>
      </c>
      <c r="I40" s="84">
        <f t="shared" si="26"/>
        <v>5.9447263071396907</v>
      </c>
      <c r="J40" s="84">
        <f t="shared" si="26"/>
        <v>3.3435225668724762</v>
      </c>
      <c r="K40" s="84">
        <f t="shared" si="26"/>
        <v>2.4139987000477379</v>
      </c>
      <c r="L40" s="84">
        <f t="shared" si="26"/>
        <v>2.0116389046934011</v>
      </c>
      <c r="M40" s="84">
        <f t="shared" si="26"/>
        <v>4.9206470707594523</v>
      </c>
      <c r="N40" s="84">
        <f t="shared" si="26"/>
        <v>4.2585026777680701</v>
      </c>
      <c r="O40" s="84">
        <f t="shared" si="26"/>
        <v>3.6796737105704</v>
      </c>
      <c r="P40" s="84">
        <f t="shared" si="26"/>
        <v>3.174106011030386</v>
      </c>
      <c r="Q40" s="84">
        <f t="shared" si="26"/>
        <v>2.7329246733420218</v>
      </c>
      <c r="R40" s="84">
        <f t="shared" si="26"/>
        <v>2.3482985450850173</v>
      </c>
      <c r="S40" s="84">
        <f t="shared" si="26"/>
        <v>2.0133200578381096</v>
      </c>
      <c r="T40" s="84">
        <f t="shared" si="26"/>
        <v>1.7218986738665838</v>
      </c>
      <c r="U40" s="84">
        <f t="shared" si="26"/>
        <v>1.4686664250912798</v>
      </c>
      <c r="V40" s="84">
        <f t="shared" si="26"/>
        <v>1.2488941894018202</v>
      </c>
      <c r="W40" s="84">
        <f t="shared" si="26"/>
        <v>1.0584174996697575</v>
      </c>
      <c r="X40" s="84">
        <f t="shared" si="26"/>
        <v>0.89357081457589926</v>
      </c>
      <c r="Y40" s="84">
        <f t="shared" si="26"/>
        <v>0.75112929939635997</v>
      </c>
      <c r="Z40" s="84">
        <f t="shared" si="26"/>
        <v>0.62825727080478833</v>
      </c>
      <c r="AA40" s="84">
        <f t="shared" si="26"/>
        <v>0.52246255397914154</v>
      </c>
      <c r="AB40" s="84">
        <f t="shared" si="26"/>
        <v>0.43155608412949514</v>
      </c>
      <c r="AC40" s="84">
        <f t="shared" si="26"/>
        <v>0.35361615912877836</v>
      </c>
      <c r="AD40" s="84">
        <f t="shared" si="26"/>
        <v>0.28695681624691033</v>
      </c>
      <c r="AE40" s="84">
        <f t="shared" si="26"/>
        <v>0.23009986496561333</v>
      </c>
      <c r="AF40" s="85">
        <f t="shared" si="26"/>
        <v>0.18175016029259122</v>
      </c>
    </row>
    <row r="41" spans="2:33" ht="15.75" thickBot="1">
      <c r="B41" s="29" t="s">
        <v>433</v>
      </c>
      <c r="C41" s="87">
        <f>C40</f>
        <v>-69.691925235961904</v>
      </c>
      <c r="D41" s="87">
        <f>D40+C41</f>
        <v>-58.138276365448355</v>
      </c>
      <c r="E41" s="87">
        <f t="shared" ref="E41:AF41" si="27">E40+D41</f>
        <v>-47.985624181137538</v>
      </c>
      <c r="F41" s="87">
        <f t="shared" si="27"/>
        <v>-39.079494689771899</v>
      </c>
      <c r="G41" s="87">
        <f t="shared" si="27"/>
        <v>-31.280967744960698</v>
      </c>
      <c r="H41" s="87">
        <f t="shared" si="27"/>
        <v>-24.465285158772694</v>
      </c>
      <c r="I41" s="87">
        <f t="shared" si="27"/>
        <v>-18.520558851633005</v>
      </c>
      <c r="J41" s="87">
        <f t="shared" si="27"/>
        <v>-15.177036284760529</v>
      </c>
      <c r="K41" s="87">
        <f t="shared" si="27"/>
        <v>-12.763037584712791</v>
      </c>
      <c r="L41" s="87">
        <f t="shared" si="27"/>
        <v>-10.75139868001939</v>
      </c>
      <c r="M41" s="87">
        <f t="shared" si="27"/>
        <v>-5.8307516092599379</v>
      </c>
      <c r="N41" s="87">
        <f t="shared" si="27"/>
        <v>-1.5722489314918677</v>
      </c>
      <c r="O41" s="87">
        <f t="shared" si="27"/>
        <v>2.1074247790785323</v>
      </c>
      <c r="P41" s="87">
        <f t="shared" si="27"/>
        <v>5.2815307901089188</v>
      </c>
      <c r="Q41" s="87">
        <f t="shared" si="27"/>
        <v>8.0144554634509397</v>
      </c>
      <c r="R41" s="87">
        <f t="shared" si="27"/>
        <v>10.362754008535957</v>
      </c>
      <c r="S41" s="87">
        <f t="shared" si="27"/>
        <v>12.376074066374066</v>
      </c>
      <c r="T41" s="87">
        <f t="shared" si="27"/>
        <v>14.09797274024065</v>
      </c>
      <c r="U41" s="87">
        <f t="shared" si="27"/>
        <v>15.56663916533193</v>
      </c>
      <c r="V41" s="87">
        <f t="shared" si="27"/>
        <v>16.815533354733748</v>
      </c>
      <c r="W41" s="87">
        <f t="shared" si="27"/>
        <v>17.873950854403507</v>
      </c>
      <c r="X41" s="87">
        <f t="shared" si="27"/>
        <v>18.767521668979406</v>
      </c>
      <c r="Y41" s="87">
        <f t="shared" si="27"/>
        <v>19.518650968375766</v>
      </c>
      <c r="Z41" s="87">
        <f t="shared" si="27"/>
        <v>20.146908239180554</v>
      </c>
      <c r="AA41" s="87">
        <f t="shared" si="27"/>
        <v>20.669370793159697</v>
      </c>
      <c r="AB41" s="87">
        <f t="shared" si="27"/>
        <v>21.100926877289194</v>
      </c>
      <c r="AC41" s="87">
        <f t="shared" si="27"/>
        <v>21.454543036417974</v>
      </c>
      <c r="AD41" s="87">
        <f t="shared" si="27"/>
        <v>21.741499852664884</v>
      </c>
      <c r="AE41" s="87">
        <f t="shared" si="27"/>
        <v>21.971599717630497</v>
      </c>
      <c r="AF41" s="88">
        <f t="shared" si="27"/>
        <v>22.153349877923088</v>
      </c>
    </row>
    <row r="42" spans="2:33"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V43" s="74"/>
      <c r="W43" s="74"/>
      <c r="X43" s="74"/>
      <c r="Y43" s="74"/>
      <c r="Z43" s="74"/>
    </row>
    <row r="44" spans="2:33">
      <c r="V44" s="74"/>
      <c r="W44" s="74"/>
      <c r="X44" s="74"/>
      <c r="Y44" s="74"/>
      <c r="Z44" s="74"/>
    </row>
    <row r="45" spans="2:33">
      <c r="V45" s="74"/>
      <c r="W45" s="74"/>
      <c r="X45" s="74"/>
      <c r="Y45" s="74"/>
      <c r="Z45" s="74"/>
    </row>
    <row r="46" spans="2:33">
      <c r="V46" s="74"/>
      <c r="W46" s="74"/>
      <c r="X46" s="74"/>
      <c r="Y46" s="74"/>
      <c r="Z46" s="74"/>
    </row>
    <row r="47" spans="2:33">
      <c r="V47" s="74"/>
      <c r="W47" s="74"/>
      <c r="X47" s="74"/>
      <c r="Y47" s="74"/>
      <c r="Z47" s="74"/>
    </row>
    <row r="48" spans="2:33">
      <c r="V48" s="74"/>
      <c r="W48" s="74"/>
      <c r="X48" s="74"/>
      <c r="Y48" s="74"/>
      <c r="Z48" s="74"/>
    </row>
    <row r="49" spans="22:26">
      <c r="V49" s="74"/>
      <c r="W49" s="74"/>
      <c r="X49" s="74"/>
      <c r="Y49" s="74"/>
      <c r="Z49" s="74"/>
    </row>
    <row r="50" spans="22:26">
      <c r="V50" s="74"/>
      <c r="W50" s="74"/>
      <c r="X50" s="74"/>
      <c r="Y50" s="74"/>
      <c r="Z50" s="74"/>
    </row>
    <row r="51" spans="22:26">
      <c r="V51" s="74"/>
      <c r="W51" s="74"/>
      <c r="X51" s="74"/>
      <c r="Y51" s="74"/>
      <c r="Z51" s="74"/>
    </row>
    <row r="52" spans="22:26">
      <c r="V52" s="74"/>
      <c r="W52" s="74"/>
      <c r="X52" s="74"/>
      <c r="Y52" s="74"/>
      <c r="Z52" s="74"/>
    </row>
    <row r="53" spans="22:26">
      <c r="V53" s="74"/>
      <c r="W53" s="74"/>
      <c r="X53" s="74"/>
      <c r="Y53" s="74"/>
      <c r="Z53" s="74"/>
    </row>
    <row r="54" spans="22:26">
      <c r="V54" s="74"/>
      <c r="W54" s="74"/>
      <c r="X54" s="74"/>
      <c r="Y54" s="74"/>
      <c r="Z54" s="74"/>
    </row>
    <row r="55" spans="22:26">
      <c r="V55" s="74"/>
      <c r="W55" s="74"/>
      <c r="X55" s="74"/>
      <c r="Y55" s="74"/>
      <c r="Z55" s="7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workbookViewId="0">
      <selection activeCell="R57" sqref="R57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33">
      <c r="B1" t="s">
        <v>365</v>
      </c>
      <c r="C1" s="74">
        <f>FCI!D44*G8*G9</f>
        <v>171.99661471065846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74"/>
      <c r="N1" s="80"/>
      <c r="O1" s="81" t="s">
        <v>374</v>
      </c>
      <c r="P1" s="81" t="s">
        <v>416</v>
      </c>
      <c r="Q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154.79695323959263</v>
      </c>
      <c r="D2" s="74" t="s">
        <v>436</v>
      </c>
      <c r="E2" s="74">
        <v>90</v>
      </c>
      <c r="F2" t="s">
        <v>417</v>
      </c>
      <c r="G2" s="74">
        <v>39.5</v>
      </c>
      <c r="H2" s="30">
        <v>25.7</v>
      </c>
      <c r="I2" s="30">
        <v>20</v>
      </c>
      <c r="J2" s="30">
        <v>30</v>
      </c>
      <c r="K2" s="30">
        <v>25</v>
      </c>
      <c r="M2" s="74"/>
      <c r="N2" s="83">
        <v>2018</v>
      </c>
      <c r="O2" s="84">
        <f>E3</f>
        <v>85.998307355329231</v>
      </c>
      <c r="P2" s="84">
        <f>O2*$C$5/100</f>
        <v>8.1698391987562768</v>
      </c>
      <c r="Q2" s="85">
        <f>O2+P2-$C$7</f>
        <v>80.480896269645712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85.998307355329231</v>
      </c>
      <c r="F3" t="s">
        <v>418</v>
      </c>
      <c r="G3" s="74">
        <v>29.3</v>
      </c>
      <c r="H3" s="30">
        <v>0</v>
      </c>
      <c r="I3" s="30">
        <v>29.3</v>
      </c>
      <c r="J3" s="30">
        <v>3.7</v>
      </c>
      <c r="K3" s="30">
        <v>0</v>
      </c>
      <c r="M3" s="74"/>
      <c r="N3" s="83" t="s">
        <v>376</v>
      </c>
      <c r="O3" s="84">
        <f>Q2</f>
        <v>80.480896269645712</v>
      </c>
      <c r="P3" s="84">
        <f t="shared" ref="P3:P11" si="0">O3*$C$5/100</f>
        <v>7.6456851456163433</v>
      </c>
      <c r="Q3" s="85">
        <f t="shared" ref="Q3:Q11" si="1">O3+P3-$C$7</f>
        <v>74.439331130822254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85.998307355329231</v>
      </c>
      <c r="F4" t="s">
        <v>422</v>
      </c>
      <c r="G4" s="74">
        <f>G3*G10/1000000</f>
        <v>4.0072449581252902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74"/>
      <c r="N4" s="83" t="s">
        <v>377</v>
      </c>
      <c r="O4" s="84">
        <f t="shared" ref="O4:O11" si="2">Q3</f>
        <v>74.439331130822254</v>
      </c>
      <c r="P4" s="84">
        <f t="shared" si="0"/>
        <v>7.0717364574281145</v>
      </c>
      <c r="Q4" s="85">
        <f t="shared" si="1"/>
        <v>67.823817303810571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474.7</v>
      </c>
      <c r="H5" s="30">
        <v>495.5</v>
      </c>
      <c r="I5" s="30">
        <v>474.7</v>
      </c>
      <c r="J5" s="30">
        <v>495.5</v>
      </c>
      <c r="K5" s="30">
        <v>475.42</v>
      </c>
      <c r="M5" s="74"/>
      <c r="N5" s="83" t="s">
        <v>378</v>
      </c>
      <c r="O5" s="84">
        <f t="shared" si="2"/>
        <v>67.823817303810571</v>
      </c>
      <c r="P5" s="84">
        <f t="shared" si="0"/>
        <v>6.4432626438620044</v>
      </c>
      <c r="Q5" s="85">
        <f t="shared" si="1"/>
        <v>60.579829663232772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285</v>
      </c>
      <c r="H6" s="30">
        <v>588</v>
      </c>
      <c r="I6" s="30">
        <v>285</v>
      </c>
      <c r="J6" s="30">
        <v>856</v>
      </c>
      <c r="K6" s="30">
        <v>1064</v>
      </c>
      <c r="M6" s="74"/>
      <c r="N6" s="83" t="s">
        <v>379</v>
      </c>
      <c r="O6" s="84">
        <f t="shared" si="2"/>
        <v>60.579829663232772</v>
      </c>
      <c r="P6" s="84">
        <f t="shared" si="0"/>
        <v>5.7550838180071127</v>
      </c>
      <c r="Q6" s="85">
        <f t="shared" si="1"/>
        <v>52.647663196800082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13.6872502844398</v>
      </c>
      <c r="D7" s="74"/>
      <c r="E7" s="74"/>
      <c r="F7" s="74" t="s">
        <v>429</v>
      </c>
      <c r="G7" s="74">
        <v>75.37</v>
      </c>
      <c r="H7" s="30">
        <v>69.3</v>
      </c>
      <c r="I7" s="30">
        <v>75.37</v>
      </c>
      <c r="J7" s="30">
        <v>75.760000000000005</v>
      </c>
      <c r="K7" s="30">
        <v>79.61</v>
      </c>
      <c r="M7" s="74"/>
      <c r="N7" s="83" t="s">
        <v>380</v>
      </c>
      <c r="O7" s="84">
        <f t="shared" si="2"/>
        <v>52.647663196800082</v>
      </c>
      <c r="P7" s="84">
        <f t="shared" si="0"/>
        <v>5.0015280036960075</v>
      </c>
      <c r="Q7" s="85">
        <f t="shared" si="1"/>
        <v>43.961940916056292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22.113850462798947</v>
      </c>
      <c r="D8" s="74"/>
      <c r="E8" s="74"/>
      <c r="F8" s="74" t="s">
        <v>279</v>
      </c>
      <c r="G8" s="74">
        <v>0.88</v>
      </c>
      <c r="H8" s="30">
        <v>1</v>
      </c>
      <c r="I8" s="30">
        <v>0.88</v>
      </c>
      <c r="J8" s="30">
        <v>9.0399999999999991</v>
      </c>
      <c r="K8" s="30">
        <v>3.54</v>
      </c>
      <c r="M8" s="74"/>
      <c r="N8" s="83" t="s">
        <v>381</v>
      </c>
      <c r="O8" s="84">
        <f t="shared" si="2"/>
        <v>43.961940916056292</v>
      </c>
      <c r="P8" s="84">
        <f t="shared" si="0"/>
        <v>4.1763843870253474</v>
      </c>
      <c r="Q8" s="85">
        <f t="shared" si="1"/>
        <v>34.451075018641845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f>'NG utility'!I1/1000*'NG utility'!I18*CashflowFinland!G5/1000000</f>
        <v>85.467326805756812</v>
      </c>
      <c r="D9" s="74" t="s">
        <v>398</v>
      </c>
      <c r="E9" s="74">
        <v>3</v>
      </c>
      <c r="F9" s="74" t="s">
        <v>435</v>
      </c>
      <c r="G9" s="74">
        <v>1.18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74"/>
      <c r="N9" s="83" t="s">
        <v>382</v>
      </c>
      <c r="O9" s="84">
        <f t="shared" si="2"/>
        <v>34.451075018641845</v>
      </c>
      <c r="P9" s="84">
        <f t="shared" si="0"/>
        <v>3.2728521267709754</v>
      </c>
      <c r="Q9" s="85">
        <f t="shared" si="1"/>
        <v>24.036676860973024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'Maintenance &amp; Operations cost'!I30/1000000*G8*G9+0.1155*CashflowFinland!C9+G7*C14/1000/1000000</f>
        <v>65.213449153078415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136766.0395264604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74"/>
      <c r="N10" s="83" t="s">
        <v>383</v>
      </c>
      <c r="O10" s="84">
        <f t="shared" si="2"/>
        <v>24.036676860973024</v>
      </c>
      <c r="P10" s="84">
        <f t="shared" si="0"/>
        <v>2.2834843017924373</v>
      </c>
      <c r="Q10" s="85">
        <f t="shared" si="1"/>
        <v>12.632910878325662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>
        <f>(0-AF41)*1000000/(G10*E6)</f>
        <v>8.2247883353811186</v>
      </c>
      <c r="H11" s="30"/>
      <c r="I11" s="30"/>
      <c r="J11" s="30"/>
      <c r="K11" s="30"/>
      <c r="M11" s="74"/>
      <c r="N11" s="83" t="s">
        <v>384</v>
      </c>
      <c r="O11" s="84">
        <f t="shared" si="2"/>
        <v>12.632910878325662</v>
      </c>
      <c r="P11" s="84">
        <f t="shared" si="0"/>
        <v>1.2001265334409379</v>
      </c>
      <c r="Q11" s="85">
        <f t="shared" si="1"/>
        <v>0.1457871273268001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74"/>
      <c r="N12" s="86"/>
      <c r="O12" s="87"/>
      <c r="P12" s="87"/>
      <c r="Q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-13.6872502844398</v>
      </c>
      <c r="D17" s="84">
        <f>-$C$7</f>
        <v>-13.6872502844398</v>
      </c>
      <c r="E17" s="84">
        <f t="shared" ref="E17:L17" si="4">-$C$7</f>
        <v>-13.6872502844398</v>
      </c>
      <c r="F17" s="84">
        <f t="shared" si="4"/>
        <v>-13.6872502844398</v>
      </c>
      <c r="G17" s="84">
        <f t="shared" si="4"/>
        <v>-13.6872502844398</v>
      </c>
      <c r="H17" s="84">
        <f t="shared" si="4"/>
        <v>-13.6872502844398</v>
      </c>
      <c r="I17" s="84">
        <f t="shared" si="4"/>
        <v>-13.6872502844398</v>
      </c>
      <c r="J17" s="84">
        <f t="shared" si="4"/>
        <v>-13.6872502844398</v>
      </c>
      <c r="K17" s="84">
        <f t="shared" si="4"/>
        <v>-13.6872502844398</v>
      </c>
      <c r="L17" s="84">
        <f t="shared" si="4"/>
        <v>-13.6872502844398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85.467326805756812</v>
      </c>
      <c r="D18" s="84">
        <f>$C$9*(1+$E$9/100)^(D16-$C$16)</f>
        <v>88.031346609929514</v>
      </c>
      <c r="E18" s="84">
        <f t="shared" ref="E18:AF18" si="5">$C$9*(1+$E$9/100)^(E16-$C$16)</f>
        <v>90.6722870082274</v>
      </c>
      <c r="F18" s="84">
        <f t="shared" si="5"/>
        <v>93.39245561847423</v>
      </c>
      <c r="G18" s="84">
        <f t="shared" si="5"/>
        <v>96.194229287028449</v>
      </c>
      <c r="H18" s="84">
        <f t="shared" si="5"/>
        <v>99.080056165639292</v>
      </c>
      <c r="I18" s="84">
        <f t="shared" si="5"/>
        <v>102.05245785060848</v>
      </c>
      <c r="J18" s="84">
        <f t="shared" si="5"/>
        <v>105.11403158612674</v>
      </c>
      <c r="K18" s="84">
        <f t="shared" si="5"/>
        <v>108.26745253371053</v>
      </c>
      <c r="L18" s="84">
        <f t="shared" si="5"/>
        <v>111.51547610972185</v>
      </c>
      <c r="M18" s="84">
        <f t="shared" si="5"/>
        <v>114.86094039301351</v>
      </c>
      <c r="N18" s="84">
        <f t="shared" si="5"/>
        <v>118.30676860480391</v>
      </c>
      <c r="O18" s="84">
        <f t="shared" si="5"/>
        <v>121.85597166294801</v>
      </c>
      <c r="P18" s="84">
        <f t="shared" si="5"/>
        <v>125.51165081283644</v>
      </c>
      <c r="Q18" s="84">
        <f t="shared" si="5"/>
        <v>129.27700033722155</v>
      </c>
      <c r="R18" s="84">
        <f t="shared" si="5"/>
        <v>133.1553103473382</v>
      </c>
      <c r="S18" s="84">
        <f t="shared" si="5"/>
        <v>137.14996965775833</v>
      </c>
      <c r="T18" s="84">
        <f t="shared" si="5"/>
        <v>141.26446874749107</v>
      </c>
      <c r="U18" s="84">
        <f t="shared" si="5"/>
        <v>145.50240280991582</v>
      </c>
      <c r="V18" s="84">
        <f t="shared" si="5"/>
        <v>149.86747489421327</v>
      </c>
      <c r="W18" s="84">
        <f t="shared" si="5"/>
        <v>154.36349914103968</v>
      </c>
      <c r="X18" s="84">
        <f t="shared" si="5"/>
        <v>158.99440411527084</v>
      </c>
      <c r="Y18" s="84">
        <f t="shared" si="5"/>
        <v>163.76423623872898</v>
      </c>
      <c r="Z18" s="84">
        <f t="shared" si="5"/>
        <v>168.67716332589086</v>
      </c>
      <c r="AA18" s="84">
        <f t="shared" si="5"/>
        <v>173.73747822566756</v>
      </c>
      <c r="AB18" s="84">
        <f t="shared" si="5"/>
        <v>178.94960257243758</v>
      </c>
      <c r="AC18" s="84">
        <f t="shared" si="5"/>
        <v>184.31809064961075</v>
      </c>
      <c r="AD18" s="84">
        <f t="shared" si="5"/>
        <v>189.84763336909904</v>
      </c>
      <c r="AE18" s="84">
        <f t="shared" si="5"/>
        <v>195.54306237017201</v>
      </c>
      <c r="AF18" s="85">
        <f t="shared" si="5"/>
        <v>201.40935424127716</v>
      </c>
      <c r="AG18" s="74"/>
    </row>
    <row r="19" spans="2:33">
      <c r="B19" s="96" t="s">
        <v>413</v>
      </c>
      <c r="C19" s="84">
        <f>-C10</f>
        <v>-65.213449153078415</v>
      </c>
      <c r="D19" s="84">
        <f>-$C$10*(1+$E$10/100)^(D16-$C$16)</f>
        <v>-67.821987119201552</v>
      </c>
      <c r="E19" s="84">
        <f t="shared" ref="E19:AF19" si="6">-$C$10*(1+$E$10/100)^(E16-$C$16)</f>
        <v>-70.534866603969618</v>
      </c>
      <c r="F19" s="84">
        <f t="shared" si="6"/>
        <v>-73.356261268128407</v>
      </c>
      <c r="G19" s="84">
        <f t="shared" si="6"/>
        <v>-76.290511718853551</v>
      </c>
      <c r="H19" s="84">
        <f t="shared" si="6"/>
        <v>-79.342132187607703</v>
      </c>
      <c r="I19" s="84">
        <f t="shared" si="6"/>
        <v>-82.515817475112001</v>
      </c>
      <c r="J19" s="84">
        <f t="shared" si="6"/>
        <v>-85.816450174116483</v>
      </c>
      <c r="K19" s="84">
        <f t="shared" si="6"/>
        <v>-89.249108181081155</v>
      </c>
      <c r="L19" s="84">
        <f t="shared" si="6"/>
        <v>-92.81907250832441</v>
      </c>
      <c r="M19" s="84">
        <f t="shared" si="6"/>
        <v>-96.531835408657386</v>
      </c>
      <c r="N19" s="84">
        <f t="shared" si="6"/>
        <v>-100.39310882500367</v>
      </c>
      <c r="O19" s="84">
        <f t="shared" si="6"/>
        <v>-104.40883317800385</v>
      </c>
      <c r="P19" s="84">
        <f t="shared" si="6"/>
        <v>-108.585186505124</v>
      </c>
      <c r="Q19" s="84">
        <f t="shared" si="6"/>
        <v>-112.92859396532896</v>
      </c>
      <c r="R19" s="84">
        <f t="shared" si="6"/>
        <v>-117.44573772394212</v>
      </c>
      <c r="S19" s="84">
        <f t="shared" si="6"/>
        <v>-122.14356723289981</v>
      </c>
      <c r="T19" s="84">
        <f t="shared" si="6"/>
        <v>-127.02930992221582</v>
      </c>
      <c r="U19" s="84">
        <f t="shared" si="6"/>
        <v>-132.11048231910445</v>
      </c>
      <c r="V19" s="84">
        <f t="shared" si="6"/>
        <v>-137.39490161186865</v>
      </c>
      <c r="W19" s="84">
        <f t="shared" si="6"/>
        <v>-142.89069767634339</v>
      </c>
      <c r="X19" s="84">
        <f t="shared" si="6"/>
        <v>-148.60632558339717</v>
      </c>
      <c r="Y19" s="84">
        <f t="shared" si="6"/>
        <v>-154.55057860673304</v>
      </c>
      <c r="Z19" s="84">
        <f t="shared" si="6"/>
        <v>-160.73260175100233</v>
      </c>
      <c r="AA19" s="84">
        <f t="shared" si="6"/>
        <v>-167.16190582104244</v>
      </c>
      <c r="AB19" s="84">
        <f t="shared" si="6"/>
        <v>-173.84838205388417</v>
      </c>
      <c r="AC19" s="84">
        <f t="shared" si="6"/>
        <v>-180.80231733603952</v>
      </c>
      <c r="AD19" s="84">
        <f t="shared" si="6"/>
        <v>-188.03441002948111</v>
      </c>
      <c r="AE19" s="84">
        <f t="shared" si="6"/>
        <v>-195.55578643066039</v>
      </c>
      <c r="AF19" s="85">
        <f t="shared" si="6"/>
        <v>-203.37801788788681</v>
      </c>
    </row>
    <row r="20" spans="2:33">
      <c r="B20" s="97" t="s">
        <v>415</v>
      </c>
      <c r="C20" s="84">
        <f>SUM(C17:C19)</f>
        <v>6.5666273682385992</v>
      </c>
      <c r="D20" s="84">
        <f t="shared" ref="D20:AF20" si="7">SUM(D17:D19)</f>
        <v>6.5221092062881638</v>
      </c>
      <c r="E20" s="84">
        <f t="shared" si="7"/>
        <v>6.450170119817983</v>
      </c>
      <c r="F20" s="84">
        <f t="shared" si="7"/>
        <v>6.348944065906025</v>
      </c>
      <c r="G20" s="84">
        <f t="shared" si="7"/>
        <v>6.2164672837350992</v>
      </c>
      <c r="H20" s="84">
        <f t="shared" si="7"/>
        <v>6.05067369359179</v>
      </c>
      <c r="I20" s="84">
        <f t="shared" si="7"/>
        <v>5.8493900910566765</v>
      </c>
      <c r="J20" s="84">
        <f t="shared" si="7"/>
        <v>5.6103311275704613</v>
      </c>
      <c r="K20" s="84">
        <f t="shared" si="7"/>
        <v>5.3310940681895715</v>
      </c>
      <c r="L20" s="84">
        <f t="shared" si="7"/>
        <v>5.0091533169576365</v>
      </c>
      <c r="M20" s="84">
        <f t="shared" si="7"/>
        <v>18.329104984356121</v>
      </c>
      <c r="N20" s="84">
        <f t="shared" si="7"/>
        <v>17.913659779800241</v>
      </c>
      <c r="O20" s="84">
        <f t="shared" si="7"/>
        <v>17.447138484944162</v>
      </c>
      <c r="P20" s="84">
        <f t="shared" si="7"/>
        <v>16.926464307712436</v>
      </c>
      <c r="Q20" s="84">
        <f t="shared" si="7"/>
        <v>16.348406371892594</v>
      </c>
      <c r="R20" s="84">
        <f t="shared" si="7"/>
        <v>15.709572623396085</v>
      </c>
      <c r="S20" s="84">
        <f t="shared" si="7"/>
        <v>15.006402424858521</v>
      </c>
      <c r="T20" s="84">
        <f t="shared" si="7"/>
        <v>14.235158825275249</v>
      </c>
      <c r="U20" s="84">
        <f t="shared" si="7"/>
        <v>13.391920490811373</v>
      </c>
      <c r="V20" s="84">
        <f t="shared" si="7"/>
        <v>12.472573282344626</v>
      </c>
      <c r="W20" s="84">
        <f t="shared" si="7"/>
        <v>11.472801464696289</v>
      </c>
      <c r="X20" s="84">
        <f t="shared" si="7"/>
        <v>10.388078531873674</v>
      </c>
      <c r="Y20" s="84">
        <f t="shared" si="7"/>
        <v>9.2136576319959431</v>
      </c>
      <c r="Z20" s="84">
        <f t="shared" si="7"/>
        <v>7.9445615748885245</v>
      </c>
      <c r="AA20" s="84">
        <f t="shared" si="7"/>
        <v>6.5755724046251203</v>
      </c>
      <c r="AB20" s="84">
        <f t="shared" si="7"/>
        <v>5.1012205185534185</v>
      </c>
      <c r="AC20" s="84">
        <f t="shared" si="7"/>
        <v>3.5157733135712306</v>
      </c>
      <c r="AD20" s="84">
        <f t="shared" si="7"/>
        <v>1.8132233396179345</v>
      </c>
      <c r="AE20" s="84">
        <f t="shared" si="7"/>
        <v>-1.2724060488380928E-2</v>
      </c>
      <c r="AF20" s="85">
        <f t="shared" si="7"/>
        <v>-1.9686636466096559</v>
      </c>
    </row>
    <row r="21" spans="2:33">
      <c r="B21" s="96" t="s">
        <v>423</v>
      </c>
      <c r="C21" s="84">
        <f>-$C$8</f>
        <v>-22.113850462798947</v>
      </c>
      <c r="D21" s="84">
        <f t="shared" ref="D21:I21" si="8">-$C$8</f>
        <v>-22.113850462798947</v>
      </c>
      <c r="E21" s="84">
        <f t="shared" si="8"/>
        <v>-22.113850462798947</v>
      </c>
      <c r="F21" s="84">
        <f t="shared" si="8"/>
        <v>-22.113850462798947</v>
      </c>
      <c r="G21" s="84">
        <f t="shared" si="8"/>
        <v>-22.113850462798947</v>
      </c>
      <c r="H21" s="84">
        <f t="shared" si="8"/>
        <v>-22.113850462798947</v>
      </c>
      <c r="I21" s="84">
        <f t="shared" si="8"/>
        <v>-22.113850462798947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85.998307355329231</v>
      </c>
      <c r="D22" s="99">
        <f>C22-C23-$C$7</f>
        <v>80.480896269645712</v>
      </c>
      <c r="E22" s="99">
        <f>D22-D23-$C$7</f>
        <v>74.439331130822254</v>
      </c>
      <c r="F22" s="99">
        <f t="shared" ref="F22:L22" si="9">E22-E23-$C$7</f>
        <v>67.823817303810571</v>
      </c>
      <c r="G22" s="99">
        <f t="shared" si="9"/>
        <v>60.579829663232772</v>
      </c>
      <c r="H22" s="99">
        <f>G22-G23-$C$7</f>
        <v>52.647663196800082</v>
      </c>
      <c r="I22" s="99">
        <f t="shared" si="9"/>
        <v>43.961940916056292</v>
      </c>
      <c r="J22" s="99">
        <f t="shared" si="9"/>
        <v>34.451075018641845</v>
      </c>
      <c r="K22" s="99">
        <f t="shared" si="9"/>
        <v>24.036676860973024</v>
      </c>
      <c r="L22" s="99">
        <f t="shared" si="9"/>
        <v>12.632910878325662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-8.1698391987562768</v>
      </c>
      <c r="D23" s="84">
        <f t="shared" ref="D23:L23" si="10">-D22*$C$5/100</f>
        <v>-7.6456851456163433</v>
      </c>
      <c r="E23" s="84">
        <f t="shared" si="10"/>
        <v>-7.0717364574281145</v>
      </c>
      <c r="F23" s="84">
        <f t="shared" si="10"/>
        <v>-6.4432626438620044</v>
      </c>
      <c r="G23" s="84">
        <f t="shared" si="10"/>
        <v>-5.7550838180071127</v>
      </c>
      <c r="H23" s="84">
        <f t="shared" si="10"/>
        <v>-5.0015280036960075</v>
      </c>
      <c r="I23" s="84">
        <f t="shared" si="10"/>
        <v>-4.1763843870253474</v>
      </c>
      <c r="J23" s="84">
        <f t="shared" si="10"/>
        <v>-3.2728521267709754</v>
      </c>
      <c r="K23" s="84">
        <f t="shared" si="10"/>
        <v>-2.2834843017924373</v>
      </c>
      <c r="L23" s="84">
        <f t="shared" si="10"/>
        <v>-1.2001265334409379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1">C18+C19+C21+C23</f>
        <v>-10.029812008876826</v>
      </c>
      <c r="D24" s="122">
        <f t="shared" si="11"/>
        <v>-9.5501761176873288</v>
      </c>
      <c r="E24" s="122">
        <f t="shared" si="11"/>
        <v>-9.0481665159692799</v>
      </c>
      <c r="F24" s="122">
        <f t="shared" si="11"/>
        <v>-8.5209187563151279</v>
      </c>
      <c r="G24" s="122">
        <f t="shared" si="11"/>
        <v>-7.9652167126311619</v>
      </c>
      <c r="H24" s="122">
        <f t="shared" si="11"/>
        <v>-7.3774544884633659</v>
      </c>
      <c r="I24" s="122">
        <f t="shared" si="11"/>
        <v>-6.7535944743278193</v>
      </c>
      <c r="J24" s="122">
        <f t="shared" si="11"/>
        <v>16.024729285239285</v>
      </c>
      <c r="K24" s="122">
        <f t="shared" si="11"/>
        <v>16.734860050836932</v>
      </c>
      <c r="L24" s="122">
        <f t="shared" si="11"/>
        <v>17.496277067956498</v>
      </c>
      <c r="M24" s="122">
        <f t="shared" si="11"/>
        <v>18.329104984356121</v>
      </c>
      <c r="N24" s="122">
        <f t="shared" si="11"/>
        <v>17.913659779800241</v>
      </c>
      <c r="O24" s="122">
        <f t="shared" si="11"/>
        <v>17.447138484944162</v>
      </c>
      <c r="P24" s="122">
        <f t="shared" si="11"/>
        <v>16.926464307712436</v>
      </c>
      <c r="Q24" s="122">
        <f t="shared" si="11"/>
        <v>16.348406371892594</v>
      </c>
      <c r="R24" s="122">
        <f t="shared" si="11"/>
        <v>15.709572623396085</v>
      </c>
      <c r="S24" s="122">
        <f t="shared" si="11"/>
        <v>15.006402424858521</v>
      </c>
      <c r="T24" s="122">
        <f t="shared" si="11"/>
        <v>14.235158825275249</v>
      </c>
      <c r="U24" s="122">
        <f t="shared" si="11"/>
        <v>13.391920490811373</v>
      </c>
      <c r="V24" s="122">
        <f t="shared" si="11"/>
        <v>12.472573282344626</v>
      </c>
      <c r="W24" s="122">
        <f t="shared" si="11"/>
        <v>11.472801464696289</v>
      </c>
      <c r="X24" s="122">
        <f t="shared" si="11"/>
        <v>10.388078531873674</v>
      </c>
      <c r="Y24" s="122">
        <f t="shared" si="11"/>
        <v>9.2136576319959431</v>
      </c>
      <c r="Z24" s="122">
        <f t="shared" si="11"/>
        <v>7.9445615748885245</v>
      </c>
      <c r="AA24" s="122">
        <f t="shared" si="11"/>
        <v>6.5755724046251203</v>
      </c>
      <c r="AB24" s="122">
        <f t="shared" si="11"/>
        <v>5.1012205185534185</v>
      </c>
      <c r="AC24" s="122">
        <f t="shared" si="11"/>
        <v>3.5157733135712306</v>
      </c>
      <c r="AD24" s="122">
        <f t="shared" si="11"/>
        <v>1.8132233396179345</v>
      </c>
      <c r="AE24" s="122">
        <f t="shared" si="11"/>
        <v>-1.2724060488380928E-2</v>
      </c>
      <c r="AF24" s="129">
        <f t="shared" si="11"/>
        <v>-1.9686636466096559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-10.029812008876826</v>
      </c>
      <c r="E26" s="84">
        <f t="shared" ref="E26:AF26" si="12">D30</f>
        <v>-19.579988126564153</v>
      </c>
      <c r="F26" s="84">
        <f t="shared" si="12"/>
        <v>-28.628154642533431</v>
      </c>
      <c r="G26" s="84">
        <f t="shared" si="12"/>
        <v>-37.149073398848557</v>
      </c>
      <c r="H26" s="84">
        <f t="shared" si="12"/>
        <v>-45.114290111479718</v>
      </c>
      <c r="I26" s="84">
        <f t="shared" si="12"/>
        <v>-52.491744599943083</v>
      </c>
      <c r="J26" s="84">
        <f t="shared" si="12"/>
        <v>-59.245339074270902</v>
      </c>
      <c r="K26" s="84">
        <f t="shared" si="12"/>
        <v>-43.220609789031613</v>
      </c>
      <c r="L26" s="84">
        <f t="shared" si="12"/>
        <v>-26.485749738194681</v>
      </c>
      <c r="M26" s="84">
        <f t="shared" si="12"/>
        <v>-8.9894726702381824</v>
      </c>
      <c r="N26" s="84">
        <f t="shared" si="12"/>
        <v>0</v>
      </c>
      <c r="O26" s="84">
        <f t="shared" si="12"/>
        <v>0</v>
      </c>
      <c r="P26" s="84">
        <f t="shared" si="12"/>
        <v>0</v>
      </c>
      <c r="Q26" s="84">
        <f t="shared" si="12"/>
        <v>0</v>
      </c>
      <c r="R26" s="84">
        <f t="shared" si="12"/>
        <v>0</v>
      </c>
      <c r="S26" s="84">
        <f t="shared" si="12"/>
        <v>0</v>
      </c>
      <c r="T26" s="84">
        <f t="shared" si="12"/>
        <v>0</v>
      </c>
      <c r="U26" s="84">
        <f t="shared" si="12"/>
        <v>0</v>
      </c>
      <c r="V26" s="84">
        <f t="shared" si="12"/>
        <v>0</v>
      </c>
      <c r="W26" s="84">
        <f t="shared" si="12"/>
        <v>0</v>
      </c>
      <c r="X26" s="84">
        <f t="shared" si="12"/>
        <v>0</v>
      </c>
      <c r="Y26" s="84">
        <f t="shared" si="12"/>
        <v>0</v>
      </c>
      <c r="Z26" s="84">
        <f t="shared" si="12"/>
        <v>0</v>
      </c>
      <c r="AA26" s="84">
        <f t="shared" si="12"/>
        <v>0</v>
      </c>
      <c r="AB26" s="84">
        <f t="shared" si="12"/>
        <v>0</v>
      </c>
      <c r="AC26" s="84">
        <f t="shared" si="12"/>
        <v>0</v>
      </c>
      <c r="AD26" s="84">
        <f t="shared" si="12"/>
        <v>0</v>
      </c>
      <c r="AE26" s="84">
        <f t="shared" si="12"/>
        <v>0</v>
      </c>
      <c r="AF26" s="85">
        <f t="shared" si="12"/>
        <v>-1.2724060488380928E-2</v>
      </c>
    </row>
    <row r="27" spans="2:33">
      <c r="B27" s="125" t="s">
        <v>455</v>
      </c>
      <c r="C27" s="122">
        <f>IF(C24&lt;0,C24,IF(C24&gt;0,0))</f>
        <v>-10.029812008876826</v>
      </c>
      <c r="D27" s="122">
        <f t="shared" ref="D27:AF27" si="13">IF(D24&lt;0,D24,IF(D24&gt;0,0))</f>
        <v>-9.5501761176873288</v>
      </c>
      <c r="E27" s="122">
        <f t="shared" si="13"/>
        <v>-9.0481665159692799</v>
      </c>
      <c r="F27" s="122">
        <f t="shared" si="13"/>
        <v>-8.5209187563151279</v>
      </c>
      <c r="G27" s="122">
        <f t="shared" si="13"/>
        <v>-7.9652167126311619</v>
      </c>
      <c r="H27" s="122">
        <f t="shared" si="13"/>
        <v>-7.3774544884633659</v>
      </c>
      <c r="I27" s="122">
        <f t="shared" si="13"/>
        <v>-6.7535944743278193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22">
        <f t="shared" si="13"/>
        <v>0</v>
      </c>
      <c r="V27" s="122">
        <f t="shared" si="13"/>
        <v>0</v>
      </c>
      <c r="W27" s="122">
        <f t="shared" si="13"/>
        <v>0</v>
      </c>
      <c r="X27" s="122">
        <f t="shared" si="13"/>
        <v>0</v>
      </c>
      <c r="Y27" s="122">
        <f t="shared" si="13"/>
        <v>0</v>
      </c>
      <c r="Z27" s="122">
        <f t="shared" si="13"/>
        <v>0</v>
      </c>
      <c r="AA27" s="122">
        <f t="shared" si="13"/>
        <v>0</v>
      </c>
      <c r="AB27" s="122">
        <f t="shared" si="13"/>
        <v>0</v>
      </c>
      <c r="AC27" s="122">
        <f t="shared" si="13"/>
        <v>0</v>
      </c>
      <c r="AD27" s="122">
        <f t="shared" si="13"/>
        <v>0</v>
      </c>
      <c r="AE27" s="122">
        <f t="shared" si="13"/>
        <v>-1.2724060488380928E-2</v>
      </c>
      <c r="AF27" s="129">
        <f t="shared" si="13"/>
        <v>-1.9686636466096559</v>
      </c>
    </row>
    <row r="28" spans="2:33">
      <c r="B28" s="124" t="s">
        <v>456</v>
      </c>
      <c r="C28" s="84">
        <f>C26+C27</f>
        <v>-10.029812008876826</v>
      </c>
      <c r="D28" s="84">
        <f t="shared" ref="D28:AF28" si="14">D26+D27</f>
        <v>-19.579988126564153</v>
      </c>
      <c r="E28" s="84">
        <f t="shared" si="14"/>
        <v>-28.628154642533431</v>
      </c>
      <c r="F28" s="84">
        <f t="shared" si="14"/>
        <v>-37.149073398848557</v>
      </c>
      <c r="G28" s="84">
        <f t="shared" si="14"/>
        <v>-45.114290111479718</v>
      </c>
      <c r="H28" s="84">
        <f t="shared" si="14"/>
        <v>-52.491744599943083</v>
      </c>
      <c r="I28" s="84">
        <f t="shared" si="14"/>
        <v>-59.245339074270902</v>
      </c>
      <c r="J28" s="84">
        <f t="shared" si="14"/>
        <v>-59.245339074270902</v>
      </c>
      <c r="K28" s="84">
        <f t="shared" si="14"/>
        <v>-43.220609789031613</v>
      </c>
      <c r="L28" s="84">
        <f t="shared" si="14"/>
        <v>-26.485749738194681</v>
      </c>
      <c r="M28" s="84">
        <f t="shared" si="14"/>
        <v>-8.9894726702381824</v>
      </c>
      <c r="N28" s="84">
        <f t="shared" si="14"/>
        <v>0</v>
      </c>
      <c r="O28" s="84">
        <f t="shared" si="14"/>
        <v>0</v>
      </c>
      <c r="P28" s="84">
        <f t="shared" si="14"/>
        <v>0</v>
      </c>
      <c r="Q28" s="84">
        <f t="shared" si="14"/>
        <v>0</v>
      </c>
      <c r="R28" s="84">
        <f t="shared" si="14"/>
        <v>0</v>
      </c>
      <c r="S28" s="84">
        <f t="shared" si="14"/>
        <v>0</v>
      </c>
      <c r="T28" s="84">
        <f t="shared" si="14"/>
        <v>0</v>
      </c>
      <c r="U28" s="84">
        <f t="shared" si="14"/>
        <v>0</v>
      </c>
      <c r="V28" s="84">
        <f t="shared" si="14"/>
        <v>0</v>
      </c>
      <c r="W28" s="84">
        <f t="shared" si="14"/>
        <v>0</v>
      </c>
      <c r="X28" s="84">
        <f t="shared" si="14"/>
        <v>0</v>
      </c>
      <c r="Y28" s="84">
        <f t="shared" si="14"/>
        <v>0</v>
      </c>
      <c r="Z28" s="84">
        <f t="shared" si="14"/>
        <v>0</v>
      </c>
      <c r="AA28" s="84">
        <f t="shared" si="14"/>
        <v>0</v>
      </c>
      <c r="AB28" s="84">
        <f t="shared" si="14"/>
        <v>0</v>
      </c>
      <c r="AC28" s="84">
        <f t="shared" si="14"/>
        <v>0</v>
      </c>
      <c r="AD28" s="84">
        <f t="shared" si="14"/>
        <v>0</v>
      </c>
      <c r="AE28" s="84">
        <f t="shared" si="14"/>
        <v>-1.2724060488380928E-2</v>
      </c>
      <c r="AF28" s="85">
        <f t="shared" si="14"/>
        <v>-1.9813877070980368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5">IF(D24&lt;0,0,IF(D24+D28&lt;0,D24,IF(D24+D28&gt;0,-D28)))</f>
        <v>0</v>
      </c>
      <c r="E29" s="122">
        <f t="shared" si="15"/>
        <v>0</v>
      </c>
      <c r="F29" s="122">
        <f t="shared" si="15"/>
        <v>0</v>
      </c>
      <c r="G29" s="122">
        <f t="shared" si="15"/>
        <v>0</v>
      </c>
      <c r="H29" s="122">
        <f t="shared" si="15"/>
        <v>0</v>
      </c>
      <c r="I29" s="122">
        <f t="shared" si="15"/>
        <v>0</v>
      </c>
      <c r="J29" s="122">
        <f t="shared" si="15"/>
        <v>16.024729285239285</v>
      </c>
      <c r="K29" s="122">
        <f t="shared" si="15"/>
        <v>16.734860050836932</v>
      </c>
      <c r="L29" s="122">
        <f t="shared" si="15"/>
        <v>17.496277067956498</v>
      </c>
      <c r="M29" s="122">
        <f t="shared" si="15"/>
        <v>8.9894726702381824</v>
      </c>
      <c r="N29" s="122">
        <f t="shared" si="15"/>
        <v>0</v>
      </c>
      <c r="O29" s="122">
        <f t="shared" si="15"/>
        <v>0</v>
      </c>
      <c r="P29" s="122">
        <f t="shared" si="15"/>
        <v>0</v>
      </c>
      <c r="Q29" s="122">
        <f t="shared" si="15"/>
        <v>0</v>
      </c>
      <c r="R29" s="122">
        <f t="shared" si="15"/>
        <v>0</v>
      </c>
      <c r="S29" s="122">
        <f t="shared" si="15"/>
        <v>0</v>
      </c>
      <c r="T29" s="122">
        <f t="shared" si="15"/>
        <v>0</v>
      </c>
      <c r="U29" s="122">
        <f t="shared" si="15"/>
        <v>0</v>
      </c>
      <c r="V29" s="122">
        <f t="shared" si="15"/>
        <v>0</v>
      </c>
      <c r="W29" s="122">
        <f t="shared" si="15"/>
        <v>0</v>
      </c>
      <c r="X29" s="122">
        <f t="shared" si="15"/>
        <v>0</v>
      </c>
      <c r="Y29" s="122">
        <f t="shared" si="15"/>
        <v>0</v>
      </c>
      <c r="Z29" s="122">
        <f t="shared" si="15"/>
        <v>0</v>
      </c>
      <c r="AA29" s="122">
        <f t="shared" si="15"/>
        <v>0</v>
      </c>
      <c r="AB29" s="122">
        <f t="shared" si="15"/>
        <v>0</v>
      </c>
      <c r="AC29" s="122">
        <f t="shared" si="15"/>
        <v>0</v>
      </c>
      <c r="AD29" s="122">
        <f t="shared" si="15"/>
        <v>0</v>
      </c>
      <c r="AE29" s="122">
        <f t="shared" si="15"/>
        <v>0</v>
      </c>
      <c r="AF29" s="129">
        <f t="shared" si="15"/>
        <v>0</v>
      </c>
    </row>
    <row r="30" spans="2:33">
      <c r="B30" s="126" t="s">
        <v>458</v>
      </c>
      <c r="C30" s="127">
        <f>C28+C29</f>
        <v>-10.029812008876826</v>
      </c>
      <c r="D30" s="127">
        <f t="shared" ref="D30:AF30" si="16">D28+D29</f>
        <v>-19.579988126564153</v>
      </c>
      <c r="E30" s="127">
        <f t="shared" si="16"/>
        <v>-28.628154642533431</v>
      </c>
      <c r="F30" s="127">
        <f t="shared" si="16"/>
        <v>-37.149073398848557</v>
      </c>
      <c r="G30" s="127">
        <f t="shared" si="16"/>
        <v>-45.114290111479718</v>
      </c>
      <c r="H30" s="127">
        <f t="shared" si="16"/>
        <v>-52.491744599943083</v>
      </c>
      <c r="I30" s="127">
        <f t="shared" si="16"/>
        <v>-59.245339074270902</v>
      </c>
      <c r="J30" s="127">
        <f t="shared" si="16"/>
        <v>-43.220609789031613</v>
      </c>
      <c r="K30" s="127">
        <f t="shared" si="16"/>
        <v>-26.485749738194681</v>
      </c>
      <c r="L30" s="127">
        <f t="shared" si="16"/>
        <v>-8.9894726702381824</v>
      </c>
      <c r="M30" s="127">
        <f t="shared" si="16"/>
        <v>0</v>
      </c>
      <c r="N30" s="127">
        <f t="shared" si="16"/>
        <v>0</v>
      </c>
      <c r="O30" s="127">
        <f t="shared" si="16"/>
        <v>0</v>
      </c>
      <c r="P30" s="127">
        <f t="shared" si="16"/>
        <v>0</v>
      </c>
      <c r="Q30" s="127">
        <f t="shared" si="16"/>
        <v>0</v>
      </c>
      <c r="R30" s="127">
        <f t="shared" si="16"/>
        <v>0</v>
      </c>
      <c r="S30" s="127">
        <f t="shared" si="16"/>
        <v>0</v>
      </c>
      <c r="T30" s="127">
        <f t="shared" si="16"/>
        <v>0</v>
      </c>
      <c r="U30" s="127">
        <f t="shared" si="16"/>
        <v>0</v>
      </c>
      <c r="V30" s="127">
        <f t="shared" si="16"/>
        <v>0</v>
      </c>
      <c r="W30" s="127">
        <f t="shared" si="16"/>
        <v>0</v>
      </c>
      <c r="X30" s="127">
        <f t="shared" si="16"/>
        <v>0</v>
      </c>
      <c r="Y30" s="127">
        <f t="shared" si="16"/>
        <v>0</v>
      </c>
      <c r="Z30" s="127">
        <f t="shared" si="16"/>
        <v>0</v>
      </c>
      <c r="AA30" s="127">
        <f t="shared" si="16"/>
        <v>0</v>
      </c>
      <c r="AB30" s="127">
        <f t="shared" si="16"/>
        <v>0</v>
      </c>
      <c r="AC30" s="127">
        <f t="shared" si="16"/>
        <v>0</v>
      </c>
      <c r="AD30" s="127">
        <f t="shared" si="16"/>
        <v>0</v>
      </c>
      <c r="AE30" s="127">
        <f t="shared" si="16"/>
        <v>-1.2724060488380928E-2</v>
      </c>
      <c r="AF30" s="130">
        <f t="shared" si="16"/>
        <v>-1.9813877070980368</v>
      </c>
    </row>
    <row r="31" spans="2:33">
      <c r="B31" s="96" t="s">
        <v>427</v>
      </c>
      <c r="C31" s="84">
        <f>IF(C24&lt;0,0,IF(C24&gt;0,-(C24-C29)*$G$2/100))</f>
        <v>0</v>
      </c>
      <c r="D31" s="84">
        <f t="shared" ref="D31:AF31" si="17">IF(D24&lt;0,0,IF(D24&gt;0,-(D24-D29)*$G$2/100))</f>
        <v>0</v>
      </c>
      <c r="E31" s="84">
        <f t="shared" si="17"/>
        <v>0</v>
      </c>
      <c r="F31" s="84">
        <f t="shared" si="17"/>
        <v>0</v>
      </c>
      <c r="G31" s="84">
        <f t="shared" si="17"/>
        <v>0</v>
      </c>
      <c r="H31" s="84">
        <f t="shared" si="17"/>
        <v>0</v>
      </c>
      <c r="I31" s="84">
        <f t="shared" si="17"/>
        <v>0</v>
      </c>
      <c r="J31" s="84">
        <f t="shared" si="17"/>
        <v>0</v>
      </c>
      <c r="K31" s="84">
        <f t="shared" si="17"/>
        <v>0</v>
      </c>
      <c r="L31" s="84">
        <f t="shared" si="17"/>
        <v>0</v>
      </c>
      <c r="M31" s="84">
        <f t="shared" si="17"/>
        <v>-3.6891547640765854</v>
      </c>
      <c r="N31" s="84">
        <f t="shared" si="17"/>
        <v>-7.0758956130210962</v>
      </c>
      <c r="O31" s="84">
        <f t="shared" si="17"/>
        <v>-6.8916197015529441</v>
      </c>
      <c r="P31" s="84">
        <f t="shared" si="17"/>
        <v>-6.6859534015464126</v>
      </c>
      <c r="Q31" s="84">
        <f t="shared" si="17"/>
        <v>-6.457620516897574</v>
      </c>
      <c r="R31" s="84">
        <f t="shared" si="17"/>
        <v>-6.2052811862414536</v>
      </c>
      <c r="S31" s="84">
        <f t="shared" si="17"/>
        <v>-5.9275289578191153</v>
      </c>
      <c r="T31" s="84">
        <f t="shared" si="17"/>
        <v>-5.6228877359837233</v>
      </c>
      <c r="U31" s="84">
        <f t="shared" si="17"/>
        <v>-5.2898085938704922</v>
      </c>
      <c r="V31" s="84">
        <f t="shared" si="17"/>
        <v>-4.9266664465261272</v>
      </c>
      <c r="W31" s="84">
        <f t="shared" si="17"/>
        <v>-4.5317565785550338</v>
      </c>
      <c r="X31" s="84">
        <f t="shared" si="17"/>
        <v>-4.1032910200901007</v>
      </c>
      <c r="Y31" s="84">
        <f t="shared" si="17"/>
        <v>-3.6393947646383977</v>
      </c>
      <c r="Z31" s="84">
        <f t="shared" si="17"/>
        <v>-3.1381018220809671</v>
      </c>
      <c r="AA31" s="84">
        <f t="shared" si="17"/>
        <v>-2.5973510998269229</v>
      </c>
      <c r="AB31" s="84">
        <f t="shared" si="17"/>
        <v>-2.0149821048286003</v>
      </c>
      <c r="AC31" s="84">
        <f t="shared" si="17"/>
        <v>-1.3887304588606362</v>
      </c>
      <c r="AD31" s="84">
        <f t="shared" si="17"/>
        <v>-0.71622321914908416</v>
      </c>
      <c r="AE31" s="84">
        <f t="shared" si="17"/>
        <v>0</v>
      </c>
      <c r="AF31" s="85">
        <f t="shared" si="17"/>
        <v>0</v>
      </c>
      <c r="AG31" s="101"/>
    </row>
    <row r="32" spans="2:33">
      <c r="B32" s="27" t="s">
        <v>428</v>
      </c>
      <c r="C32" s="84">
        <f t="shared" ref="C32:AF32" si="18">C20+C31</f>
        <v>6.5666273682385992</v>
      </c>
      <c r="D32" s="84">
        <f t="shared" si="18"/>
        <v>6.5221092062881638</v>
      </c>
      <c r="E32" s="84">
        <f t="shared" si="18"/>
        <v>6.450170119817983</v>
      </c>
      <c r="F32" s="84">
        <f t="shared" si="18"/>
        <v>6.348944065906025</v>
      </c>
      <c r="G32" s="84">
        <f t="shared" si="18"/>
        <v>6.2164672837350992</v>
      </c>
      <c r="H32" s="84">
        <f t="shared" si="18"/>
        <v>6.05067369359179</v>
      </c>
      <c r="I32" s="84">
        <f t="shared" si="18"/>
        <v>5.8493900910566765</v>
      </c>
      <c r="J32" s="84">
        <f t="shared" si="18"/>
        <v>5.6103311275704613</v>
      </c>
      <c r="K32" s="84">
        <f t="shared" si="18"/>
        <v>5.3310940681895715</v>
      </c>
      <c r="L32" s="84">
        <f t="shared" si="18"/>
        <v>5.0091533169576365</v>
      </c>
      <c r="M32" s="84">
        <f t="shared" si="18"/>
        <v>14.639950220279536</v>
      </c>
      <c r="N32" s="84">
        <f t="shared" si="18"/>
        <v>10.837764166779145</v>
      </c>
      <c r="O32" s="84">
        <f t="shared" si="18"/>
        <v>10.555518783391218</v>
      </c>
      <c r="P32" s="84">
        <f t="shared" si="18"/>
        <v>10.240510906166023</v>
      </c>
      <c r="Q32" s="84">
        <f t="shared" si="18"/>
        <v>9.8907858549950198</v>
      </c>
      <c r="R32" s="84">
        <f t="shared" si="18"/>
        <v>9.504291437154631</v>
      </c>
      <c r="S32" s="84">
        <f t="shared" si="18"/>
        <v>9.078873467039406</v>
      </c>
      <c r="T32" s="84">
        <f t="shared" si="18"/>
        <v>8.6122710892915251</v>
      </c>
      <c r="U32" s="84">
        <f t="shared" si="18"/>
        <v>8.1021118969408796</v>
      </c>
      <c r="V32" s="84">
        <f t="shared" si="18"/>
        <v>7.5459068358184993</v>
      </c>
      <c r="W32" s="84">
        <f t="shared" si="18"/>
        <v>6.9410448861412553</v>
      </c>
      <c r="X32" s="84">
        <f t="shared" si="18"/>
        <v>6.2847875117835734</v>
      </c>
      <c r="Y32" s="84">
        <f t="shared" si="18"/>
        <v>5.5742628673575449</v>
      </c>
      <c r="Z32" s="84">
        <f t="shared" si="18"/>
        <v>4.806459752807557</v>
      </c>
      <c r="AA32" s="84">
        <f t="shared" si="18"/>
        <v>3.9782213047981974</v>
      </c>
      <c r="AB32" s="84">
        <f t="shared" si="18"/>
        <v>3.0862384137248182</v>
      </c>
      <c r="AC32" s="84">
        <f t="shared" si="18"/>
        <v>2.1270428547105942</v>
      </c>
      <c r="AD32" s="84">
        <f t="shared" si="18"/>
        <v>1.0970001204688504</v>
      </c>
      <c r="AE32" s="84">
        <f t="shared" si="18"/>
        <v>-1.2724060488380928E-2</v>
      </c>
      <c r="AF32" s="85">
        <f t="shared" si="18"/>
        <v>-1.9686636466096559</v>
      </c>
    </row>
    <row r="33" spans="2:33">
      <c r="B33" s="27" t="s">
        <v>422</v>
      </c>
      <c r="C33" s="84">
        <f>G4</f>
        <v>4.0072449581252902</v>
      </c>
      <c r="D33" s="84">
        <f t="shared" ref="D33:AF33" si="19">$G$4*(1+$E$9/100)^(D16-$C$16)</f>
        <v>4.1274623068690488</v>
      </c>
      <c r="E33" s="84">
        <f t="shared" si="19"/>
        <v>4.2512861760751202</v>
      </c>
      <c r="F33" s="84">
        <f t="shared" si="19"/>
        <v>4.3788247613573743</v>
      </c>
      <c r="G33" s="84">
        <f t="shared" si="19"/>
        <v>4.5101895041980953</v>
      </c>
      <c r="H33" s="84">
        <f t="shared" si="19"/>
        <v>4.6454951893240377</v>
      </c>
      <c r="I33" s="84">
        <f t="shared" si="19"/>
        <v>4.7848600450037591</v>
      </c>
      <c r="J33" s="84">
        <f t="shared" si="19"/>
        <v>4.928405846353872</v>
      </c>
      <c r="K33" s="84">
        <f t="shared" si="19"/>
        <v>5.0762580217444873</v>
      </c>
      <c r="L33" s="84">
        <f t="shared" si="19"/>
        <v>5.2285457623968226</v>
      </c>
      <c r="M33" s="84">
        <f t="shared" si="19"/>
        <v>5.3854021352687269</v>
      </c>
      <c r="N33" s="84">
        <f t="shared" si="19"/>
        <v>5.5469641993267889</v>
      </c>
      <c r="O33" s="84">
        <f t="shared" si="19"/>
        <v>5.7133731253065916</v>
      </c>
      <c r="P33" s="84">
        <f t="shared" si="19"/>
        <v>5.8847743190657891</v>
      </c>
      <c r="Q33" s="84">
        <f t="shared" si="19"/>
        <v>6.0613175486377635</v>
      </c>
      <c r="R33" s="84">
        <f t="shared" si="19"/>
        <v>6.2431570750968968</v>
      </c>
      <c r="S33" s="84">
        <f t="shared" si="19"/>
        <v>6.4304517873498028</v>
      </c>
      <c r="T33" s="84">
        <f t="shared" si="19"/>
        <v>6.6233653409702971</v>
      </c>
      <c r="U33" s="84">
        <f t="shared" si="19"/>
        <v>6.8220663011994054</v>
      </c>
      <c r="V33" s="84">
        <f t="shared" si="19"/>
        <v>7.026728290235388</v>
      </c>
      <c r="W33" s="84">
        <f t="shared" si="19"/>
        <v>7.2375301389424491</v>
      </c>
      <c r="X33" s="84">
        <f t="shared" si="19"/>
        <v>7.4546560431107221</v>
      </c>
      <c r="Y33" s="84">
        <f t="shared" si="19"/>
        <v>7.6782957244040437</v>
      </c>
      <c r="Z33" s="84">
        <f t="shared" si="19"/>
        <v>7.908644596136166</v>
      </c>
      <c r="AA33" s="84">
        <f t="shared" si="19"/>
        <v>8.1459039340202501</v>
      </c>
      <c r="AB33" s="84">
        <f t="shared" si="19"/>
        <v>8.3902810520408568</v>
      </c>
      <c r="AC33" s="84">
        <f t="shared" si="19"/>
        <v>8.6419894836020834</v>
      </c>
      <c r="AD33" s="84">
        <f t="shared" si="19"/>
        <v>8.9012491681101462</v>
      </c>
      <c r="AE33" s="84">
        <f t="shared" si="19"/>
        <v>9.1682866431534507</v>
      </c>
      <c r="AF33" s="85">
        <f t="shared" si="19"/>
        <v>9.4433352424480521</v>
      </c>
    </row>
    <row r="34" spans="2:33">
      <c r="B34" s="27" t="s">
        <v>430</v>
      </c>
      <c r="C34" s="84">
        <f>C32+C33</f>
        <v>10.57387232636389</v>
      </c>
      <c r="D34" s="84">
        <f t="shared" ref="D34:AF34" si="20">D32+D33</f>
        <v>10.649571513157213</v>
      </c>
      <c r="E34" s="84">
        <f>E32+E33</f>
        <v>10.701456295893102</v>
      </c>
      <c r="F34" s="84">
        <f t="shared" si="20"/>
        <v>10.7277688272634</v>
      </c>
      <c r="G34" s="84">
        <f t="shared" si="20"/>
        <v>10.726656787933194</v>
      </c>
      <c r="H34" s="84">
        <f t="shared" si="20"/>
        <v>10.696168882915828</v>
      </c>
      <c r="I34" s="84">
        <f t="shared" si="20"/>
        <v>10.634250136060436</v>
      </c>
      <c r="J34" s="84">
        <f t="shared" si="20"/>
        <v>10.538736973924333</v>
      </c>
      <c r="K34" s="84">
        <f t="shared" si="20"/>
        <v>10.407352089934058</v>
      </c>
      <c r="L34" s="84">
        <f t="shared" si="20"/>
        <v>10.23769907935446</v>
      </c>
      <c r="M34" s="84">
        <f t="shared" si="20"/>
        <v>20.025352355548264</v>
      </c>
      <c r="N34" s="84">
        <f t="shared" si="20"/>
        <v>16.384728366105932</v>
      </c>
      <c r="O34" s="84">
        <f t="shared" si="20"/>
        <v>16.26889190869781</v>
      </c>
      <c r="P34" s="84">
        <f t="shared" si="20"/>
        <v>16.125285225231814</v>
      </c>
      <c r="Q34" s="84">
        <f t="shared" si="20"/>
        <v>15.952103403632783</v>
      </c>
      <c r="R34" s="84">
        <f t="shared" si="20"/>
        <v>15.747448512251527</v>
      </c>
      <c r="S34" s="84">
        <f t="shared" si="20"/>
        <v>15.509325254389209</v>
      </c>
      <c r="T34" s="84">
        <f t="shared" si="20"/>
        <v>15.235636430261822</v>
      </c>
      <c r="U34" s="84">
        <f t="shared" si="20"/>
        <v>14.924178198140286</v>
      </c>
      <c r="V34" s="84">
        <f t="shared" si="20"/>
        <v>14.572635126053887</v>
      </c>
      <c r="W34" s="84">
        <f t="shared" si="20"/>
        <v>14.178575025083704</v>
      </c>
      <c r="X34" s="84">
        <f t="shared" si="20"/>
        <v>13.739443554894295</v>
      </c>
      <c r="Y34" s="84">
        <f t="shared" si="20"/>
        <v>13.252558591761588</v>
      </c>
      <c r="Z34" s="84">
        <f t="shared" si="20"/>
        <v>12.715104348943722</v>
      </c>
      <c r="AA34" s="84">
        <f t="shared" si="20"/>
        <v>12.124125238818447</v>
      </c>
      <c r="AB34" s="84">
        <f t="shared" si="20"/>
        <v>11.476519465765675</v>
      </c>
      <c r="AC34" s="84">
        <f t="shared" si="20"/>
        <v>10.769032338312677</v>
      </c>
      <c r="AD34" s="84">
        <f t="shared" si="20"/>
        <v>9.9982492885789966</v>
      </c>
      <c r="AE34" s="84">
        <f t="shared" si="20"/>
        <v>9.1555625826650697</v>
      </c>
      <c r="AF34" s="85">
        <f t="shared" si="20"/>
        <v>7.4746715958383962</v>
      </c>
    </row>
    <row r="35" spans="2:33">
      <c r="B35" s="27" t="s">
        <v>431</v>
      </c>
      <c r="C35" s="84">
        <f>C34-E4</f>
        <v>-75.424435028965348</v>
      </c>
      <c r="D35" s="84">
        <f>D34</f>
        <v>10.649571513157213</v>
      </c>
      <c r="E35" s="84">
        <f>E34</f>
        <v>10.701456295893102</v>
      </c>
      <c r="F35" s="84">
        <f t="shared" ref="F35:AF35" si="21">F34</f>
        <v>10.7277688272634</v>
      </c>
      <c r="G35" s="84">
        <f t="shared" si="21"/>
        <v>10.726656787933194</v>
      </c>
      <c r="H35" s="84">
        <f t="shared" si="21"/>
        <v>10.696168882915828</v>
      </c>
      <c r="I35" s="84">
        <f t="shared" si="21"/>
        <v>10.634250136060436</v>
      </c>
      <c r="J35" s="84">
        <f t="shared" si="21"/>
        <v>10.538736973924333</v>
      </c>
      <c r="K35" s="84">
        <f t="shared" si="21"/>
        <v>10.407352089934058</v>
      </c>
      <c r="L35" s="84">
        <f t="shared" si="21"/>
        <v>10.23769907935446</v>
      </c>
      <c r="M35" s="84">
        <f t="shared" si="21"/>
        <v>20.025352355548264</v>
      </c>
      <c r="N35" s="84">
        <f t="shared" si="21"/>
        <v>16.384728366105932</v>
      </c>
      <c r="O35" s="84">
        <f t="shared" si="21"/>
        <v>16.26889190869781</v>
      </c>
      <c r="P35" s="84">
        <f t="shared" si="21"/>
        <v>16.125285225231814</v>
      </c>
      <c r="Q35" s="84">
        <f t="shared" si="21"/>
        <v>15.952103403632783</v>
      </c>
      <c r="R35" s="84">
        <f t="shared" si="21"/>
        <v>15.747448512251527</v>
      </c>
      <c r="S35" s="84">
        <f t="shared" si="21"/>
        <v>15.509325254389209</v>
      </c>
      <c r="T35" s="84">
        <f t="shared" si="21"/>
        <v>15.235636430261822</v>
      </c>
      <c r="U35" s="84">
        <f t="shared" si="21"/>
        <v>14.924178198140286</v>
      </c>
      <c r="V35" s="84">
        <f t="shared" si="21"/>
        <v>14.572635126053887</v>
      </c>
      <c r="W35" s="84">
        <f t="shared" si="21"/>
        <v>14.178575025083704</v>
      </c>
      <c r="X35" s="84">
        <f t="shared" si="21"/>
        <v>13.739443554894295</v>
      </c>
      <c r="Y35" s="84">
        <f t="shared" si="21"/>
        <v>13.252558591761588</v>
      </c>
      <c r="Z35" s="84">
        <f t="shared" si="21"/>
        <v>12.715104348943722</v>
      </c>
      <c r="AA35" s="84">
        <f t="shared" si="21"/>
        <v>12.124125238818447</v>
      </c>
      <c r="AB35" s="84">
        <f t="shared" si="21"/>
        <v>11.476519465765675</v>
      </c>
      <c r="AC35" s="84">
        <f t="shared" si="21"/>
        <v>10.769032338312677</v>
      </c>
      <c r="AD35" s="84">
        <f t="shared" si="21"/>
        <v>9.9982492885789966</v>
      </c>
      <c r="AE35" s="84">
        <f t="shared" si="21"/>
        <v>9.1555625826650697</v>
      </c>
      <c r="AF35" s="85">
        <f t="shared" si="21"/>
        <v>7.4746715958383962</v>
      </c>
      <c r="AG35" s="101"/>
    </row>
    <row r="36" spans="2:33">
      <c r="B36" s="27" t="s">
        <v>432</v>
      </c>
      <c r="C36" s="84">
        <f>C35</f>
        <v>-75.424435028965348</v>
      </c>
      <c r="D36" s="84">
        <f t="shared" ref="D36:AF36" si="22">D35/(1+$E$5/100)^(D16-$C$16)</f>
        <v>9.2604969679627942</v>
      </c>
      <c r="E36" s="84">
        <f t="shared" si="22"/>
        <v>8.0918384089928956</v>
      </c>
      <c r="F36" s="84">
        <f t="shared" si="22"/>
        <v>7.0536821417035611</v>
      </c>
      <c r="G36" s="84">
        <f t="shared" si="22"/>
        <v>6.1330008328633463</v>
      </c>
      <c r="H36" s="84">
        <f t="shared" si="22"/>
        <v>5.3178863254072475</v>
      </c>
      <c r="I36" s="84">
        <f t="shared" si="22"/>
        <v>4.5974797956451505</v>
      </c>
      <c r="J36" s="84">
        <f t="shared" si="22"/>
        <v>3.9619015825051647</v>
      </c>
      <c r="K36" s="84">
        <f t="shared" si="22"/>
        <v>3.4021818592410629</v>
      </c>
      <c r="L36" s="84">
        <f t="shared" si="22"/>
        <v>2.9101930340384778</v>
      </c>
      <c r="M36" s="84">
        <f t="shared" si="22"/>
        <v>4.9499608369930117</v>
      </c>
      <c r="N36" s="84">
        <f t="shared" si="22"/>
        <v>3.5217863183152125</v>
      </c>
      <c r="O36" s="84">
        <f t="shared" si="22"/>
        <v>3.0407722233496188</v>
      </c>
      <c r="P36" s="84">
        <f t="shared" si="22"/>
        <v>2.6208096586045482</v>
      </c>
      <c r="Q36" s="84">
        <f t="shared" si="22"/>
        <v>2.2544893660915086</v>
      </c>
      <c r="R36" s="84">
        <f t="shared" si="22"/>
        <v>1.9352745782106935</v>
      </c>
      <c r="S36" s="84">
        <f t="shared" si="22"/>
        <v>1.6574004721915536</v>
      </c>
      <c r="T36" s="84">
        <f t="shared" si="22"/>
        <v>1.4157850252345541</v>
      </c>
      <c r="U36" s="84">
        <f t="shared" si="22"/>
        <v>1.2059499937688223</v>
      </c>
      <c r="V36" s="84">
        <f t="shared" si="22"/>
        <v>1.0239508817659155</v>
      </c>
      <c r="W36" s="84">
        <f t="shared" si="22"/>
        <v>0.86631488901217546</v>
      </c>
      <c r="X36" s="84">
        <f t="shared" si="22"/>
        <v>0.72998594234089331</v>
      </c>
      <c r="Y36" s="84">
        <f t="shared" si="22"/>
        <v>0.61227601257667896</v>
      </c>
      <c r="Z36" s="84">
        <f t="shared" si="22"/>
        <v>0.5108220086980868</v>
      </c>
      <c r="AA36" s="84">
        <f t="shared" si="22"/>
        <v>0.42354761968518329</v>
      </c>
      <c r="AB36" s="84">
        <f t="shared" si="22"/>
        <v>0.34862954475855457</v>
      </c>
      <c r="AC36" s="84">
        <f t="shared" si="22"/>
        <v>0.28446761519166164</v>
      </c>
      <c r="AD36" s="84">
        <f t="shared" si="22"/>
        <v>0.22965836644112309</v>
      </c>
      <c r="AE36" s="84">
        <f t="shared" si="22"/>
        <v>0.18287128040429426</v>
      </c>
      <c r="AF36" s="85">
        <f t="shared" si="22"/>
        <v>0.12982392830121506</v>
      </c>
      <c r="AG36" s="101"/>
    </row>
    <row r="37" spans="2:33" ht="15.75" thickBot="1">
      <c r="B37" s="29" t="s">
        <v>433</v>
      </c>
      <c r="C37" s="87">
        <f>C36</f>
        <v>-75.424435028965348</v>
      </c>
      <c r="D37" s="87">
        <f>C37+D36</f>
        <v>-66.163938061002554</v>
      </c>
      <c r="E37" s="87">
        <f t="shared" ref="E37:AF37" si="23">D37+E36</f>
        <v>-58.072099652009655</v>
      </c>
      <c r="F37" s="87">
        <f t="shared" si="23"/>
        <v>-51.018417510306094</v>
      </c>
      <c r="G37" s="87">
        <f t="shared" si="23"/>
        <v>-44.885416677442748</v>
      </c>
      <c r="H37" s="87">
        <f t="shared" si="23"/>
        <v>-39.567530352035504</v>
      </c>
      <c r="I37" s="87">
        <f t="shared" si="23"/>
        <v>-34.970050556390355</v>
      </c>
      <c r="J37" s="87">
        <f t="shared" si="23"/>
        <v>-31.008148973885191</v>
      </c>
      <c r="K37" s="87">
        <f t="shared" si="23"/>
        <v>-27.60596711464413</v>
      </c>
      <c r="L37" s="87">
        <f t="shared" si="23"/>
        <v>-24.695774080605652</v>
      </c>
      <c r="M37" s="87">
        <f t="shared" si="23"/>
        <v>-19.745813243612641</v>
      </c>
      <c r="N37" s="87">
        <f t="shared" si="23"/>
        <v>-16.22402692529743</v>
      </c>
      <c r="O37" s="87">
        <f t="shared" si="23"/>
        <v>-13.183254701947812</v>
      </c>
      <c r="P37" s="87">
        <f t="shared" si="23"/>
        <v>-10.562445043343264</v>
      </c>
      <c r="Q37" s="87">
        <f t="shared" si="23"/>
        <v>-8.3079556772517549</v>
      </c>
      <c r="R37" s="87">
        <f t="shared" si="23"/>
        <v>-6.3726810990410616</v>
      </c>
      <c r="S37" s="87">
        <f t="shared" si="23"/>
        <v>-4.7152806268495082</v>
      </c>
      <c r="T37" s="87">
        <f t="shared" si="23"/>
        <v>-3.2994956016149541</v>
      </c>
      <c r="U37" s="87">
        <f t="shared" si="23"/>
        <v>-2.0935456078461319</v>
      </c>
      <c r="V37" s="87">
        <f t="shared" si="23"/>
        <v>-1.0695947260802163</v>
      </c>
      <c r="W37" s="87">
        <f t="shared" si="23"/>
        <v>-0.20327983706804087</v>
      </c>
      <c r="X37" s="87">
        <f t="shared" si="23"/>
        <v>0.52670610527285244</v>
      </c>
      <c r="Y37" s="87">
        <f t="shared" si="23"/>
        <v>1.1389821178495314</v>
      </c>
      <c r="Z37" s="87">
        <f t="shared" si="23"/>
        <v>1.6498041265476182</v>
      </c>
      <c r="AA37" s="87">
        <f t="shared" si="23"/>
        <v>2.0733517462328015</v>
      </c>
      <c r="AB37" s="87">
        <f t="shared" si="23"/>
        <v>2.4219812909913561</v>
      </c>
      <c r="AC37" s="87">
        <f t="shared" si="23"/>
        <v>2.7064489061830175</v>
      </c>
      <c r="AD37" s="87">
        <f t="shared" si="23"/>
        <v>2.9361072726241404</v>
      </c>
      <c r="AE37" s="87">
        <f t="shared" si="23"/>
        <v>3.1189785530284349</v>
      </c>
      <c r="AF37" s="88">
        <f t="shared" si="23"/>
        <v>3.2488024813296499</v>
      </c>
    </row>
    <row r="38" spans="2:33">
      <c r="B38" s="25" t="s">
        <v>430</v>
      </c>
      <c r="C38" s="81">
        <f>C32</f>
        <v>6.5666273682385992</v>
      </c>
      <c r="D38" s="81">
        <f t="shared" ref="D38:AF38" si="24">D32</f>
        <v>6.5221092062881638</v>
      </c>
      <c r="E38" s="81">
        <f t="shared" si="24"/>
        <v>6.450170119817983</v>
      </c>
      <c r="F38" s="81">
        <f t="shared" si="24"/>
        <v>6.348944065906025</v>
      </c>
      <c r="G38" s="81">
        <f t="shared" si="24"/>
        <v>6.2164672837350992</v>
      </c>
      <c r="H38" s="81">
        <f t="shared" si="24"/>
        <v>6.05067369359179</v>
      </c>
      <c r="I38" s="81">
        <f t="shared" si="24"/>
        <v>5.8493900910566765</v>
      </c>
      <c r="J38" s="81">
        <f t="shared" si="24"/>
        <v>5.6103311275704613</v>
      </c>
      <c r="K38" s="81">
        <f t="shared" si="24"/>
        <v>5.3310940681895715</v>
      </c>
      <c r="L38" s="81">
        <f t="shared" si="24"/>
        <v>5.0091533169576365</v>
      </c>
      <c r="M38" s="81">
        <f t="shared" si="24"/>
        <v>14.639950220279536</v>
      </c>
      <c r="N38" s="81">
        <f t="shared" si="24"/>
        <v>10.837764166779145</v>
      </c>
      <c r="O38" s="81">
        <f t="shared" si="24"/>
        <v>10.555518783391218</v>
      </c>
      <c r="P38" s="81">
        <f t="shared" si="24"/>
        <v>10.240510906166023</v>
      </c>
      <c r="Q38" s="81">
        <f t="shared" si="24"/>
        <v>9.8907858549950198</v>
      </c>
      <c r="R38" s="81">
        <f t="shared" si="24"/>
        <v>9.504291437154631</v>
      </c>
      <c r="S38" s="81">
        <f t="shared" si="24"/>
        <v>9.078873467039406</v>
      </c>
      <c r="T38" s="81">
        <f t="shared" si="24"/>
        <v>8.6122710892915251</v>
      </c>
      <c r="U38" s="81">
        <f t="shared" si="24"/>
        <v>8.1021118969408796</v>
      </c>
      <c r="V38" s="81">
        <f t="shared" si="24"/>
        <v>7.5459068358184993</v>
      </c>
      <c r="W38" s="81">
        <f t="shared" si="24"/>
        <v>6.9410448861412553</v>
      </c>
      <c r="X38" s="81">
        <f t="shared" si="24"/>
        <v>6.2847875117835734</v>
      </c>
      <c r="Y38" s="81">
        <f t="shared" si="24"/>
        <v>5.5742628673575449</v>
      </c>
      <c r="Z38" s="81">
        <f t="shared" si="24"/>
        <v>4.806459752807557</v>
      </c>
      <c r="AA38" s="81">
        <f t="shared" si="24"/>
        <v>3.9782213047981974</v>
      </c>
      <c r="AB38" s="81">
        <f t="shared" si="24"/>
        <v>3.0862384137248182</v>
      </c>
      <c r="AC38" s="81">
        <f t="shared" si="24"/>
        <v>2.1270428547105942</v>
      </c>
      <c r="AD38" s="81">
        <f t="shared" si="24"/>
        <v>1.0970001204688504</v>
      </c>
      <c r="AE38" s="81">
        <f t="shared" si="24"/>
        <v>-1.2724060488380928E-2</v>
      </c>
      <c r="AF38" s="82">
        <f t="shared" si="24"/>
        <v>-1.9686636466096559</v>
      </c>
    </row>
    <row r="39" spans="2:33">
      <c r="B39" s="27" t="s">
        <v>431</v>
      </c>
      <c r="C39" s="84">
        <f>C38-E4</f>
        <v>-79.431679987090632</v>
      </c>
      <c r="D39" s="84">
        <f>D38</f>
        <v>6.5221092062881638</v>
      </c>
      <c r="E39" s="84">
        <f t="shared" ref="E39:AF39" si="25">E38</f>
        <v>6.450170119817983</v>
      </c>
      <c r="F39" s="84">
        <f t="shared" si="25"/>
        <v>6.348944065906025</v>
      </c>
      <c r="G39" s="84">
        <f t="shared" si="25"/>
        <v>6.2164672837350992</v>
      </c>
      <c r="H39" s="84">
        <f t="shared" si="25"/>
        <v>6.05067369359179</v>
      </c>
      <c r="I39" s="84">
        <f t="shared" si="25"/>
        <v>5.8493900910566765</v>
      </c>
      <c r="J39" s="84">
        <f t="shared" si="25"/>
        <v>5.6103311275704613</v>
      </c>
      <c r="K39" s="84">
        <f t="shared" si="25"/>
        <v>5.3310940681895715</v>
      </c>
      <c r="L39" s="84">
        <f t="shared" si="25"/>
        <v>5.0091533169576365</v>
      </c>
      <c r="M39" s="84">
        <f t="shared" si="25"/>
        <v>14.639950220279536</v>
      </c>
      <c r="N39" s="84">
        <f t="shared" si="25"/>
        <v>10.837764166779145</v>
      </c>
      <c r="O39" s="84">
        <f t="shared" si="25"/>
        <v>10.555518783391218</v>
      </c>
      <c r="P39" s="84">
        <f t="shared" si="25"/>
        <v>10.240510906166023</v>
      </c>
      <c r="Q39" s="84">
        <f t="shared" si="25"/>
        <v>9.8907858549950198</v>
      </c>
      <c r="R39" s="84">
        <f t="shared" si="25"/>
        <v>9.504291437154631</v>
      </c>
      <c r="S39" s="84">
        <f t="shared" si="25"/>
        <v>9.078873467039406</v>
      </c>
      <c r="T39" s="84">
        <f t="shared" si="25"/>
        <v>8.6122710892915251</v>
      </c>
      <c r="U39" s="84">
        <f t="shared" si="25"/>
        <v>8.1021118969408796</v>
      </c>
      <c r="V39" s="84">
        <f t="shared" si="25"/>
        <v>7.5459068358184993</v>
      </c>
      <c r="W39" s="84">
        <f t="shared" si="25"/>
        <v>6.9410448861412553</v>
      </c>
      <c r="X39" s="84">
        <f t="shared" si="25"/>
        <v>6.2847875117835734</v>
      </c>
      <c r="Y39" s="84">
        <f t="shared" si="25"/>
        <v>5.5742628673575449</v>
      </c>
      <c r="Z39" s="84">
        <f t="shared" si="25"/>
        <v>4.806459752807557</v>
      </c>
      <c r="AA39" s="84">
        <f t="shared" si="25"/>
        <v>3.9782213047981974</v>
      </c>
      <c r="AB39" s="84">
        <f t="shared" si="25"/>
        <v>3.0862384137248182</v>
      </c>
      <c r="AC39" s="84">
        <f t="shared" si="25"/>
        <v>2.1270428547105942</v>
      </c>
      <c r="AD39" s="84">
        <f t="shared" si="25"/>
        <v>1.0970001204688504</v>
      </c>
      <c r="AE39" s="84">
        <f t="shared" si="25"/>
        <v>-1.2724060488380928E-2</v>
      </c>
      <c r="AF39" s="85">
        <f t="shared" si="25"/>
        <v>-1.9686636466096559</v>
      </c>
    </row>
    <row r="40" spans="2:33">
      <c r="B40" s="27" t="s">
        <v>432</v>
      </c>
      <c r="C40" s="84">
        <f>C39</f>
        <v>-79.431679987090632</v>
      </c>
      <c r="D40" s="84">
        <f>D39/(1+$E$5/100)^(D16-$C$16)</f>
        <v>5.6713993098157953</v>
      </c>
      <c r="E40" s="84">
        <f t="shared" ref="E40:AF40" si="26">E39/(1+$E$5/100)^(E16-$C$16)</f>
        <v>4.8772552890873229</v>
      </c>
      <c r="F40" s="84">
        <f t="shared" si="26"/>
        <v>4.1745337821359589</v>
      </c>
      <c r="G40" s="84">
        <f t="shared" si="26"/>
        <v>3.5542853455984513</v>
      </c>
      <c r="H40" s="84">
        <f t="shared" si="26"/>
        <v>3.0082541933352114</v>
      </c>
      <c r="I40" s="84">
        <f t="shared" si="26"/>
        <v>2.5288527556154135</v>
      </c>
      <c r="J40" s="84">
        <f t="shared" si="26"/>
        <v>2.1091312770872261</v>
      </c>
      <c r="K40" s="84">
        <f t="shared" si="26"/>
        <v>1.7427441074319527</v>
      </c>
      <c r="L40" s="84">
        <f t="shared" si="26"/>
        <v>1.4239140041572744</v>
      </c>
      <c r="M40" s="84">
        <f t="shared" si="26"/>
        <v>3.6187717928385426</v>
      </c>
      <c r="N40" s="84">
        <f t="shared" si="26"/>
        <v>2.3295039570290363</v>
      </c>
      <c r="O40" s="84">
        <f t="shared" si="26"/>
        <v>1.9729019345454775</v>
      </c>
      <c r="P40" s="84">
        <f t="shared" si="26"/>
        <v>1.6643693129799695</v>
      </c>
      <c r="Q40" s="84">
        <f t="shared" si="26"/>
        <v>1.3978514913147122</v>
      </c>
      <c r="R40" s="84">
        <f t="shared" si="26"/>
        <v>1.1680250034106061</v>
      </c>
      <c r="S40" s="84">
        <f t="shared" si="26"/>
        <v>0.97021172258799704</v>
      </c>
      <c r="T40" s="84">
        <f t="shared" si="26"/>
        <v>0.80030292776354239</v>
      </c>
      <c r="U40" s="84">
        <f t="shared" si="26"/>
        <v>0.65469211516435089</v>
      </c>
      <c r="V40" s="84">
        <f t="shared" si="26"/>
        <v>0.53021556440712803</v>
      </c>
      <c r="W40" s="84">
        <f t="shared" si="26"/>
        <v>0.42409977868213106</v>
      </c>
      <c r="X40" s="84">
        <f t="shared" si="26"/>
        <v>0.33391501743659269</v>
      </c>
      <c r="Y40" s="84">
        <f t="shared" si="26"/>
        <v>0.25753422766239237</v>
      </c>
      <c r="Z40" s="84">
        <f t="shared" si="26"/>
        <v>0.19309675786181257</v>
      </c>
      <c r="AA40" s="84">
        <f t="shared" si="26"/>
        <v>0.13897630806660724</v>
      </c>
      <c r="AB40" s="84">
        <f t="shared" si="26"/>
        <v>9.3752630874090789E-2</v>
      </c>
      <c r="AC40" s="84">
        <f t="shared" si="26"/>
        <v>5.6186553190794075E-2</v>
      </c>
      <c r="AD40" s="84">
        <f t="shared" si="26"/>
        <v>2.5197936996867756E-2</v>
      </c>
      <c r="AE40" s="84">
        <f t="shared" si="26"/>
        <v>-2.5414770664749131E-4</v>
      </c>
      <c r="AF40" s="85">
        <f t="shared" si="26"/>
        <v>-3.4192759485106645E-2</v>
      </c>
    </row>
    <row r="41" spans="2:33" ht="15.75" thickBot="1">
      <c r="B41" s="29" t="s">
        <v>433</v>
      </c>
      <c r="C41" s="87">
        <f>C40</f>
        <v>-79.431679987090632</v>
      </c>
      <c r="D41" s="87">
        <f>D40+C41</f>
        <v>-73.760280677274835</v>
      </c>
      <c r="E41" s="87">
        <f t="shared" ref="E41:AF41" si="27">E40+D41</f>
        <v>-68.883025388187519</v>
      </c>
      <c r="F41" s="87">
        <f t="shared" si="27"/>
        <v>-64.708491606051567</v>
      </c>
      <c r="G41" s="87">
        <f t="shared" si="27"/>
        <v>-61.154206260453115</v>
      </c>
      <c r="H41" s="87">
        <f t="shared" si="27"/>
        <v>-58.145952067117904</v>
      </c>
      <c r="I41" s="87">
        <f t="shared" si="27"/>
        <v>-55.617099311502493</v>
      </c>
      <c r="J41" s="87">
        <f t="shared" si="27"/>
        <v>-53.507968034415264</v>
      </c>
      <c r="K41" s="87">
        <f t="shared" si="27"/>
        <v>-51.76522392698331</v>
      </c>
      <c r="L41" s="87">
        <f t="shared" si="27"/>
        <v>-50.341309922826035</v>
      </c>
      <c r="M41" s="87">
        <f t="shared" si="27"/>
        <v>-46.722538129987491</v>
      </c>
      <c r="N41" s="87">
        <f t="shared" si="27"/>
        <v>-44.393034172958451</v>
      </c>
      <c r="O41" s="87">
        <f t="shared" si="27"/>
        <v>-42.420132238412975</v>
      </c>
      <c r="P41" s="87">
        <f t="shared" si="27"/>
        <v>-40.755762925433004</v>
      </c>
      <c r="Q41" s="87">
        <f t="shared" si="27"/>
        <v>-39.357911434118293</v>
      </c>
      <c r="R41" s="87">
        <f t="shared" si="27"/>
        <v>-38.189886430707688</v>
      </c>
      <c r="S41" s="87">
        <f t="shared" si="27"/>
        <v>-37.21967470811969</v>
      </c>
      <c r="T41" s="87">
        <f t="shared" si="27"/>
        <v>-36.419371780356151</v>
      </c>
      <c r="U41" s="87">
        <f t="shared" si="27"/>
        <v>-35.7646796651918</v>
      </c>
      <c r="V41" s="87">
        <f t="shared" si="27"/>
        <v>-35.23446410078467</v>
      </c>
      <c r="W41" s="87">
        <f t="shared" si="27"/>
        <v>-34.810364322102537</v>
      </c>
      <c r="X41" s="87">
        <f t="shared" si="27"/>
        <v>-34.476449304665941</v>
      </c>
      <c r="Y41" s="87">
        <f t="shared" si="27"/>
        <v>-34.218915077003551</v>
      </c>
      <c r="Z41" s="87">
        <f t="shared" si="27"/>
        <v>-34.025818319141742</v>
      </c>
      <c r="AA41" s="87">
        <f t="shared" si="27"/>
        <v>-33.886842011075132</v>
      </c>
      <c r="AB41" s="87">
        <f t="shared" si="27"/>
        <v>-33.793089380201039</v>
      </c>
      <c r="AC41" s="87">
        <f t="shared" si="27"/>
        <v>-33.736902827010248</v>
      </c>
      <c r="AD41" s="87">
        <f t="shared" si="27"/>
        <v>-33.71170489001338</v>
      </c>
      <c r="AE41" s="87">
        <f t="shared" si="27"/>
        <v>-33.711959037720028</v>
      </c>
      <c r="AF41" s="88">
        <f t="shared" si="27"/>
        <v>-33.746151797205137</v>
      </c>
    </row>
    <row r="42" spans="2:33">
      <c r="B42" s="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T43" s="74"/>
      <c r="U43" s="74"/>
      <c r="V43" s="74"/>
      <c r="W43" s="74"/>
      <c r="X43" s="74"/>
      <c r="Y43" s="74"/>
      <c r="Z43" s="74"/>
    </row>
    <row r="44" spans="2:33">
      <c r="T44" s="74"/>
      <c r="U44" s="74"/>
      <c r="V44" s="74"/>
      <c r="W44" s="74"/>
      <c r="X44" s="74"/>
      <c r="Y44" s="74"/>
      <c r="Z44" s="74"/>
    </row>
    <row r="45" spans="2:33">
      <c r="T45" s="74"/>
      <c r="U45" s="74"/>
      <c r="V45" s="74"/>
      <c r="W45" s="74"/>
      <c r="X45" s="74"/>
      <c r="Y45" s="74"/>
      <c r="Z45" s="74"/>
    </row>
    <row r="46" spans="2:33">
      <c r="T46" s="74"/>
      <c r="U46" s="74"/>
      <c r="V46" s="74"/>
      <c r="W46" s="74"/>
      <c r="X46" s="74"/>
      <c r="Y46" s="74"/>
      <c r="Z46" s="74"/>
    </row>
    <row r="47" spans="2:33">
      <c r="T47" s="74"/>
      <c r="U47" s="74"/>
      <c r="V47" s="74"/>
      <c r="W47" s="74"/>
      <c r="X47" s="74"/>
      <c r="Y47" s="74"/>
      <c r="Z47" s="74"/>
    </row>
    <row r="48" spans="2:33">
      <c r="T48" s="74"/>
      <c r="U48" s="74"/>
      <c r="V48" s="74"/>
      <c r="W48" s="74"/>
      <c r="X48" s="74"/>
      <c r="Y48" s="74"/>
      <c r="Z48" s="74"/>
    </row>
    <row r="49" spans="20:26">
      <c r="T49" s="74"/>
      <c r="U49" s="74"/>
      <c r="V49" s="74"/>
      <c r="W49" s="74"/>
      <c r="X49" s="74"/>
      <c r="Y49" s="74"/>
      <c r="Z49" s="74"/>
    </row>
    <row r="50" spans="20:26">
      <c r="T50" s="74"/>
      <c r="U50" s="74"/>
      <c r="V50" s="74"/>
      <c r="W50" s="74"/>
      <c r="X50" s="74"/>
      <c r="Y50" s="74"/>
      <c r="Z50" s="74"/>
    </row>
    <row r="51" spans="20:26">
      <c r="T51" s="74"/>
      <c r="U51" s="74"/>
      <c r="V51" s="74"/>
      <c r="W51" s="74"/>
      <c r="X51" s="74"/>
      <c r="Y51" s="74"/>
      <c r="Z51" s="74"/>
    </row>
    <row r="52" spans="20:26">
      <c r="T52" s="74"/>
      <c r="U52" s="74"/>
      <c r="V52" s="74"/>
      <c r="W52" s="74"/>
      <c r="X52" s="74"/>
      <c r="Y52" s="74"/>
      <c r="Z52" s="74"/>
    </row>
    <row r="53" spans="20:26">
      <c r="T53" s="74"/>
      <c r="U53" s="74"/>
      <c r="V53" s="74"/>
      <c r="W53" s="74"/>
      <c r="X53" s="74"/>
      <c r="Y53" s="74"/>
      <c r="Z53" s="74"/>
    </row>
    <row r="54" spans="20:26">
      <c r="T54" s="74"/>
      <c r="U54" s="74"/>
      <c r="V54" s="74"/>
      <c r="W54" s="74"/>
      <c r="X54" s="74"/>
      <c r="Y54" s="74"/>
      <c r="Z54" s="74"/>
    </row>
    <row r="55" spans="20:26">
      <c r="T55" s="74"/>
      <c r="U55" s="74"/>
      <c r="V55" s="74"/>
      <c r="W55" s="74"/>
      <c r="X55" s="74"/>
      <c r="Y55" s="74"/>
      <c r="Z55" s="7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topLeftCell="A37" workbookViewId="0">
      <selection activeCell="J66" sqref="J66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33">
      <c r="B1" t="s">
        <v>365</v>
      </c>
      <c r="C1" s="74">
        <f>FCI!D44*G8*G9</f>
        <v>74.86755570995534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74"/>
      <c r="N1" s="80"/>
      <c r="O1" s="81" t="s">
        <v>374</v>
      </c>
      <c r="P1" s="81" t="s">
        <v>416</v>
      </c>
      <c r="Q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67.380800138959799</v>
      </c>
      <c r="D2" s="74" t="s">
        <v>436</v>
      </c>
      <c r="E2" s="74">
        <v>90</v>
      </c>
      <c r="F2" t="s">
        <v>417</v>
      </c>
      <c r="G2" s="74">
        <v>39.5</v>
      </c>
      <c r="H2" s="30">
        <v>25.7</v>
      </c>
      <c r="I2" s="30">
        <v>20</v>
      </c>
      <c r="J2" s="30">
        <v>30</v>
      </c>
      <c r="K2" s="30">
        <v>25</v>
      </c>
      <c r="M2" s="74"/>
      <c r="N2" s="83">
        <v>2018</v>
      </c>
      <c r="O2" s="84">
        <f>E3</f>
        <v>37.43377785497767</v>
      </c>
      <c r="P2" s="84">
        <f>O2*$C$5/100</f>
        <v>3.5562088962228784</v>
      </c>
      <c r="Q2" s="85">
        <f>O2+P2-$C$7</f>
        <v>35.032135225526872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37.43377785497767</v>
      </c>
      <c r="F3" t="s">
        <v>418</v>
      </c>
      <c r="G3" s="74">
        <v>3.7</v>
      </c>
      <c r="H3" s="30">
        <v>0</v>
      </c>
      <c r="I3" s="30">
        <v>29.3</v>
      </c>
      <c r="J3" s="30">
        <v>3.7</v>
      </c>
      <c r="K3" s="30">
        <v>0</v>
      </c>
      <c r="M3" s="74"/>
      <c r="N3" s="83" t="s">
        <v>376</v>
      </c>
      <c r="O3" s="84">
        <f>Q2</f>
        <v>35.032135225526872</v>
      </c>
      <c r="P3" s="84">
        <f t="shared" ref="P3:P11" si="0">O3*$C$5/100</f>
        <v>3.3280528464250527</v>
      </c>
      <c r="Q3" s="85">
        <f t="shared" ref="Q3:Q11" si="1">O3+P3-$C$7</f>
        <v>32.402336546278249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37.43377785497767</v>
      </c>
      <c r="F4" t="s">
        <v>422</v>
      </c>
      <c r="G4" s="74">
        <f>G3*G10/1000000</f>
        <v>5.3307615910151436E-2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74"/>
      <c r="N4" s="83" t="s">
        <v>377</v>
      </c>
      <c r="O4" s="84">
        <f t="shared" ref="O4:O11" si="2">Q3</f>
        <v>32.402336546278249</v>
      </c>
      <c r="P4" s="84">
        <f t="shared" si="0"/>
        <v>3.0782219718964337</v>
      </c>
      <c r="Q4" s="85">
        <f t="shared" si="1"/>
        <v>29.522706992501007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495.5</v>
      </c>
      <c r="H5" s="30">
        <v>495.5</v>
      </c>
      <c r="I5" s="30">
        <v>474.7</v>
      </c>
      <c r="J5" s="30">
        <v>495.5</v>
      </c>
      <c r="K5" s="30">
        <v>475.42</v>
      </c>
      <c r="M5" s="74"/>
      <c r="N5" s="83" t="s">
        <v>378</v>
      </c>
      <c r="O5" s="84">
        <f t="shared" si="2"/>
        <v>29.522706992501007</v>
      </c>
      <c r="P5" s="84">
        <f t="shared" si="0"/>
        <v>2.8046571642875957</v>
      </c>
      <c r="Q5" s="85">
        <f t="shared" si="1"/>
        <v>26.369512631114929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856</v>
      </c>
      <c r="H6" s="30">
        <v>588</v>
      </c>
      <c r="I6" s="30">
        <v>285</v>
      </c>
      <c r="J6" s="30">
        <v>856</v>
      </c>
      <c r="K6" s="30">
        <v>1064</v>
      </c>
      <c r="M6" s="74"/>
      <c r="N6" s="83" t="s">
        <v>379</v>
      </c>
      <c r="O6" s="84">
        <f t="shared" si="2"/>
        <v>26.369512631114929</v>
      </c>
      <c r="P6" s="84">
        <f t="shared" si="0"/>
        <v>2.5051036999559182</v>
      </c>
      <c r="Q6" s="85">
        <f t="shared" si="1"/>
        <v>22.916764805397172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5.9578515256736733</v>
      </c>
      <c r="D7" s="74"/>
      <c r="E7" s="74"/>
      <c r="F7" s="74" t="s">
        <v>429</v>
      </c>
      <c r="G7" s="74">
        <v>75.760000000000005</v>
      </c>
      <c r="H7" s="30">
        <v>69.3</v>
      </c>
      <c r="I7" s="30">
        <v>75.37</v>
      </c>
      <c r="J7" s="30">
        <v>75.760000000000005</v>
      </c>
      <c r="K7" s="30">
        <v>79.61</v>
      </c>
      <c r="M7" s="74"/>
      <c r="N7" s="83" t="s">
        <v>380</v>
      </c>
      <c r="O7" s="84">
        <f t="shared" si="2"/>
        <v>22.916764805397172</v>
      </c>
      <c r="P7" s="84">
        <f t="shared" si="0"/>
        <v>2.1770926565127313</v>
      </c>
      <c r="Q7" s="85">
        <f t="shared" si="1"/>
        <v>19.136005936236231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9.625828591279971</v>
      </c>
      <c r="D8" s="74"/>
      <c r="E8" s="74"/>
      <c r="F8" s="74" t="s">
        <v>279</v>
      </c>
      <c r="G8" s="74">
        <v>9.0399999999999991</v>
      </c>
      <c r="H8" s="30">
        <v>1</v>
      </c>
      <c r="I8" s="30">
        <v>0.88</v>
      </c>
      <c r="J8" s="30">
        <v>9.0399999999999991</v>
      </c>
      <c r="K8" s="30">
        <v>3.54</v>
      </c>
      <c r="M8" s="74"/>
      <c r="N8" s="83" t="s">
        <v>381</v>
      </c>
      <c r="O8" s="84">
        <f t="shared" si="2"/>
        <v>19.136005936236231</v>
      </c>
      <c r="P8" s="84">
        <f t="shared" si="0"/>
        <v>1.8179205639424418</v>
      </c>
      <c r="Q8" s="85">
        <f t="shared" si="1"/>
        <v>14.996074974504998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f>'NG utility'!I1/1000*'NG utility'!I18*CashflowMexico!G5/1000000</f>
        <v>89.212261285554021</v>
      </c>
      <c r="D9" s="74" t="s">
        <v>398</v>
      </c>
      <c r="E9" s="74">
        <v>3</v>
      </c>
      <c r="F9" s="74" t="s">
        <v>435</v>
      </c>
      <c r="G9" s="74">
        <v>0.05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74"/>
      <c r="N9" s="83" t="s">
        <v>382</v>
      </c>
      <c r="O9" s="84">
        <f t="shared" si="2"/>
        <v>14.996074974504998</v>
      </c>
      <c r="P9" s="84">
        <f t="shared" si="0"/>
        <v>1.4246271225779747</v>
      </c>
      <c r="Q9" s="85">
        <f t="shared" si="1"/>
        <v>10.4628505714093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'Maintenance &amp; Operations cost'!I30/1000000*G8*G9+0.1155*CashflowMexico!C9+G7*C14/1000/1000000</f>
        <v>43.597778803648183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14407.463759500388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74"/>
      <c r="N10" s="83" t="s">
        <v>383</v>
      </c>
      <c r="O10" s="84">
        <f t="shared" si="2"/>
        <v>10.4628505714093</v>
      </c>
      <c r="P10" s="84">
        <f t="shared" si="0"/>
        <v>0.99397080428388351</v>
      </c>
      <c r="Q10" s="85">
        <f t="shared" si="1"/>
        <v>5.4989698500195097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>
        <f>(0-AF41)*1000000/(G10*E6)</f>
        <v>-435.66545410126184</v>
      </c>
      <c r="H11" s="30"/>
      <c r="I11" s="30"/>
      <c r="J11" s="30"/>
      <c r="K11" s="30"/>
      <c r="M11" s="74"/>
      <c r="N11" s="83" t="s">
        <v>384</v>
      </c>
      <c r="O11" s="84">
        <f t="shared" si="2"/>
        <v>5.4989698500195097</v>
      </c>
      <c r="P11" s="84">
        <f t="shared" si="0"/>
        <v>0.52240213575185346</v>
      </c>
      <c r="Q11" s="85">
        <f t="shared" si="1"/>
        <v>6.352046009769019E-2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74"/>
      <c r="N12" s="86"/>
      <c r="O12" s="87"/>
      <c r="P12" s="87"/>
      <c r="Q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-5.9578515256736733</v>
      </c>
      <c r="D17" s="84">
        <f>-$C$7</f>
        <v>-5.9578515256736733</v>
      </c>
      <c r="E17" s="84">
        <f t="shared" ref="E17:L17" si="4">-$C$7</f>
        <v>-5.9578515256736733</v>
      </c>
      <c r="F17" s="84">
        <f t="shared" si="4"/>
        <v>-5.9578515256736733</v>
      </c>
      <c r="G17" s="84">
        <f t="shared" si="4"/>
        <v>-5.9578515256736733</v>
      </c>
      <c r="H17" s="84">
        <f t="shared" si="4"/>
        <v>-5.9578515256736733</v>
      </c>
      <c r="I17" s="84">
        <f t="shared" si="4"/>
        <v>-5.9578515256736733</v>
      </c>
      <c r="J17" s="84">
        <f t="shared" si="4"/>
        <v>-5.9578515256736733</v>
      </c>
      <c r="K17" s="84">
        <f t="shared" si="4"/>
        <v>-5.9578515256736733</v>
      </c>
      <c r="L17" s="84">
        <f t="shared" si="4"/>
        <v>-5.9578515256736733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89.212261285554021</v>
      </c>
      <c r="D18" s="84">
        <f>$C$9*(1+$E$9/100)^(D16-$C$16)</f>
        <v>91.888629124120641</v>
      </c>
      <c r="E18" s="84">
        <f t="shared" ref="E18:AF18" si="5">$C$9*(1+$E$9/100)^(E16-$C$16)</f>
        <v>94.645287997844264</v>
      </c>
      <c r="F18" s="84">
        <f t="shared" si="5"/>
        <v>97.484646637779591</v>
      </c>
      <c r="G18" s="84">
        <f t="shared" si="5"/>
        <v>100.40918603691297</v>
      </c>
      <c r="H18" s="84">
        <f t="shared" si="5"/>
        <v>103.42146161802034</v>
      </c>
      <c r="I18" s="84">
        <f t="shared" si="5"/>
        <v>106.52410546656097</v>
      </c>
      <c r="J18" s="84">
        <f t="shared" si="5"/>
        <v>109.7198286305578</v>
      </c>
      <c r="K18" s="84">
        <f t="shared" si="5"/>
        <v>113.01142348947452</v>
      </c>
      <c r="L18" s="84">
        <f t="shared" si="5"/>
        <v>116.40176619415877</v>
      </c>
      <c r="M18" s="84">
        <f t="shared" si="5"/>
        <v>119.89381917998352</v>
      </c>
      <c r="N18" s="84">
        <f t="shared" si="5"/>
        <v>123.49063375538304</v>
      </c>
      <c r="O18" s="84">
        <f t="shared" si="5"/>
        <v>127.19535276804451</v>
      </c>
      <c r="P18" s="84">
        <f t="shared" si="5"/>
        <v>131.01121335108584</v>
      </c>
      <c r="Q18" s="84">
        <f t="shared" si="5"/>
        <v>134.94154975161842</v>
      </c>
      <c r="R18" s="84">
        <f t="shared" si="5"/>
        <v>138.989796244167</v>
      </c>
      <c r="S18" s="84">
        <f t="shared" si="5"/>
        <v>143.15949013149196</v>
      </c>
      <c r="T18" s="84">
        <f t="shared" si="5"/>
        <v>147.45427483543673</v>
      </c>
      <c r="U18" s="84">
        <f t="shared" si="5"/>
        <v>151.87790308049983</v>
      </c>
      <c r="V18" s="84">
        <f t="shared" si="5"/>
        <v>156.43424017291483</v>
      </c>
      <c r="W18" s="84">
        <f t="shared" si="5"/>
        <v>161.12726737810226</v>
      </c>
      <c r="X18" s="84">
        <f t="shared" si="5"/>
        <v>165.96108539944532</v>
      </c>
      <c r="Y18" s="84">
        <f t="shared" si="5"/>
        <v>170.9399179614287</v>
      </c>
      <c r="Z18" s="84">
        <f t="shared" si="5"/>
        <v>176.06811550027157</v>
      </c>
      <c r="AA18" s="84">
        <f t="shared" si="5"/>
        <v>181.35015896527969</v>
      </c>
      <c r="AB18" s="84">
        <f t="shared" si="5"/>
        <v>186.79066373423808</v>
      </c>
      <c r="AC18" s="84">
        <f t="shared" si="5"/>
        <v>192.39438364626525</v>
      </c>
      <c r="AD18" s="84">
        <f t="shared" si="5"/>
        <v>198.16621515565316</v>
      </c>
      <c r="AE18" s="84">
        <f t="shared" si="5"/>
        <v>204.11120161032278</v>
      </c>
      <c r="AF18" s="85">
        <f t="shared" si="5"/>
        <v>210.23453765863243</v>
      </c>
      <c r="AG18" s="74"/>
    </row>
    <row r="19" spans="2:33">
      <c r="B19" s="96" t="s">
        <v>413</v>
      </c>
      <c r="C19" s="84">
        <f>-C10</f>
        <v>-43.597778803648183</v>
      </c>
      <c r="D19" s="84">
        <f>-$C$10*(1+$E$10/100)^(D16-$C$16)</f>
        <v>-45.341689955794109</v>
      </c>
      <c r="E19" s="84">
        <f t="shared" ref="E19:AF19" si="6">-$C$10*(1+$E$10/100)^(E16-$C$16)</f>
        <v>-47.155357554025876</v>
      </c>
      <c r="F19" s="84">
        <f t="shared" si="6"/>
        <v>-49.041571856186913</v>
      </c>
      <c r="G19" s="84">
        <f t="shared" si="6"/>
        <v>-51.003234730434393</v>
      </c>
      <c r="H19" s="84">
        <f t="shared" si="6"/>
        <v>-53.043364119651777</v>
      </c>
      <c r="I19" s="84">
        <f t="shared" si="6"/>
        <v>-55.165098684437851</v>
      </c>
      <c r="J19" s="84">
        <f t="shared" si="6"/>
        <v>-57.371702631815353</v>
      </c>
      <c r="K19" s="84">
        <f t="shared" si="6"/>
        <v>-59.66657073708798</v>
      </c>
      <c r="L19" s="84">
        <f t="shared" si="6"/>
        <v>-62.053233566571507</v>
      </c>
      <c r="M19" s="84">
        <f t="shared" si="6"/>
        <v>-64.535362909234365</v>
      </c>
      <c r="N19" s="84">
        <f t="shared" si="6"/>
        <v>-67.116777425603729</v>
      </c>
      <c r="O19" s="84">
        <f t="shared" si="6"/>
        <v>-69.801448522627894</v>
      </c>
      <c r="P19" s="84">
        <f t="shared" si="6"/>
        <v>-72.593506463533018</v>
      </c>
      <c r="Q19" s="84">
        <f t="shared" si="6"/>
        <v>-75.497246722074337</v>
      </c>
      <c r="R19" s="84">
        <f t="shared" si="6"/>
        <v>-78.517136590957307</v>
      </c>
      <c r="S19" s="84">
        <f t="shared" si="6"/>
        <v>-81.657822054595613</v>
      </c>
      <c r="T19" s="84">
        <f t="shared" si="6"/>
        <v>-84.924134936779438</v>
      </c>
      <c r="U19" s="84">
        <f t="shared" si="6"/>
        <v>-88.32110033425063</v>
      </c>
      <c r="V19" s="84">
        <f t="shared" si="6"/>
        <v>-91.853944347620654</v>
      </c>
      <c r="W19" s="84">
        <f t="shared" si="6"/>
        <v>-95.528102121525478</v>
      </c>
      <c r="X19" s="84">
        <f t="shared" si="6"/>
        <v>-99.349226206386518</v>
      </c>
      <c r="Y19" s="84">
        <f t="shared" si="6"/>
        <v>-103.32319525464197</v>
      </c>
      <c r="Z19" s="84">
        <f t="shared" si="6"/>
        <v>-107.45612306482765</v>
      </c>
      <c r="AA19" s="84">
        <f t="shared" si="6"/>
        <v>-111.75436798742076</v>
      </c>
      <c r="AB19" s="84">
        <f t="shared" si="6"/>
        <v>-116.22454270691762</v>
      </c>
      <c r="AC19" s="84">
        <f t="shared" si="6"/>
        <v>-120.87352441519431</v>
      </c>
      <c r="AD19" s="84">
        <f t="shared" si="6"/>
        <v>-125.70846539180208</v>
      </c>
      <c r="AE19" s="84">
        <f t="shared" si="6"/>
        <v>-130.73680400747421</v>
      </c>
      <c r="AF19" s="85">
        <f t="shared" si="6"/>
        <v>-135.96627616777317</v>
      </c>
    </row>
    <row r="20" spans="2:33">
      <c r="B20" s="97" t="s">
        <v>415</v>
      </c>
      <c r="C20" s="84">
        <f>SUM(C17:C19)</f>
        <v>39.656630956232163</v>
      </c>
      <c r="D20" s="84">
        <f t="shared" ref="D20:AF20" si="7">SUM(D17:D19)</f>
        <v>40.589087642652856</v>
      </c>
      <c r="E20" s="84">
        <f t="shared" si="7"/>
        <v>41.532078918144713</v>
      </c>
      <c r="F20" s="84">
        <f t="shared" si="7"/>
        <v>42.485223255919003</v>
      </c>
      <c r="G20" s="84">
        <f t="shared" si="7"/>
        <v>43.448099780804903</v>
      </c>
      <c r="H20" s="84">
        <f t="shared" si="7"/>
        <v>44.420245972694893</v>
      </c>
      <c r="I20" s="84">
        <f t="shared" si="7"/>
        <v>45.401155256449442</v>
      </c>
      <c r="J20" s="84">
        <f t="shared" si="7"/>
        <v>46.390274473068771</v>
      </c>
      <c r="K20" s="84">
        <f t="shared" si="7"/>
        <v>47.387001226712869</v>
      </c>
      <c r="L20" s="84">
        <f t="shared" si="7"/>
        <v>48.390681101913586</v>
      </c>
      <c r="M20" s="84">
        <f t="shared" si="7"/>
        <v>55.358456270749159</v>
      </c>
      <c r="N20" s="84">
        <f t="shared" si="7"/>
        <v>56.373856329779315</v>
      </c>
      <c r="O20" s="84">
        <f t="shared" si="7"/>
        <v>57.393904245416621</v>
      </c>
      <c r="P20" s="84">
        <f t="shared" si="7"/>
        <v>58.417706887552825</v>
      </c>
      <c r="Q20" s="84">
        <f t="shared" si="7"/>
        <v>59.444303029544088</v>
      </c>
      <c r="R20" s="84">
        <f t="shared" si="7"/>
        <v>60.472659653209689</v>
      </c>
      <c r="S20" s="84">
        <f t="shared" si="7"/>
        <v>61.501668076896351</v>
      </c>
      <c r="T20" s="84">
        <f t="shared" si="7"/>
        <v>62.530139898657296</v>
      </c>
      <c r="U20" s="84">
        <f t="shared" si="7"/>
        <v>63.556802746249204</v>
      </c>
      <c r="V20" s="84">
        <f t="shared" si="7"/>
        <v>64.580295825294172</v>
      </c>
      <c r="W20" s="84">
        <f t="shared" si="7"/>
        <v>65.599165256576782</v>
      </c>
      <c r="X20" s="84">
        <f t="shared" si="7"/>
        <v>66.611859193058805</v>
      </c>
      <c r="Y20" s="84">
        <f t="shared" si="7"/>
        <v>67.616722706786732</v>
      </c>
      <c r="Z20" s="84">
        <f t="shared" si="7"/>
        <v>68.611992435443923</v>
      </c>
      <c r="AA20" s="84">
        <f t="shared" si="7"/>
        <v>69.595790977858925</v>
      </c>
      <c r="AB20" s="84">
        <f t="shared" si="7"/>
        <v>70.566121027320463</v>
      </c>
      <c r="AC20" s="84">
        <f t="shared" si="7"/>
        <v>71.520859231070943</v>
      </c>
      <c r="AD20" s="84">
        <f t="shared" si="7"/>
        <v>72.457749763851083</v>
      </c>
      <c r="AE20" s="84">
        <f t="shared" si="7"/>
        <v>73.374397602848575</v>
      </c>
      <c r="AF20" s="85">
        <f t="shared" si="7"/>
        <v>74.26826149085926</v>
      </c>
    </row>
    <row r="21" spans="2:33">
      <c r="B21" s="96" t="s">
        <v>423</v>
      </c>
      <c r="C21" s="84">
        <f>-$C$8</f>
        <v>-9.625828591279971</v>
      </c>
      <c r="D21" s="84">
        <f t="shared" ref="D21:I21" si="8">-$C$8</f>
        <v>-9.625828591279971</v>
      </c>
      <c r="E21" s="84">
        <f t="shared" si="8"/>
        <v>-9.625828591279971</v>
      </c>
      <c r="F21" s="84">
        <f t="shared" si="8"/>
        <v>-9.625828591279971</v>
      </c>
      <c r="G21" s="84">
        <f t="shared" si="8"/>
        <v>-9.625828591279971</v>
      </c>
      <c r="H21" s="84">
        <f t="shared" si="8"/>
        <v>-9.625828591279971</v>
      </c>
      <c r="I21" s="84">
        <f t="shared" si="8"/>
        <v>-9.625828591279971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37.43377785497767</v>
      </c>
      <c r="D22" s="99">
        <f>C22-C23-$C$7</f>
        <v>35.032135225526872</v>
      </c>
      <c r="E22" s="99">
        <f>D22-D23-$C$7</f>
        <v>32.402336546278249</v>
      </c>
      <c r="F22" s="99">
        <f t="shared" ref="F22:L22" si="9">E22-E23-$C$7</f>
        <v>29.522706992501007</v>
      </c>
      <c r="G22" s="99">
        <f t="shared" si="9"/>
        <v>26.369512631114929</v>
      </c>
      <c r="H22" s="99">
        <f>G22-G23-$C$7</f>
        <v>22.916764805397172</v>
      </c>
      <c r="I22" s="99">
        <f t="shared" si="9"/>
        <v>19.136005936236231</v>
      </c>
      <c r="J22" s="99">
        <f t="shared" si="9"/>
        <v>14.996074974504998</v>
      </c>
      <c r="K22" s="99">
        <f t="shared" si="9"/>
        <v>10.4628505714093</v>
      </c>
      <c r="L22" s="99">
        <f t="shared" si="9"/>
        <v>5.4989698500195097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-3.5562088962228784</v>
      </c>
      <c r="D23" s="84">
        <f t="shared" ref="D23:L23" si="10">-D22*$C$5/100</f>
        <v>-3.3280528464250527</v>
      </c>
      <c r="E23" s="84">
        <f t="shared" si="10"/>
        <v>-3.0782219718964337</v>
      </c>
      <c r="F23" s="84">
        <f t="shared" si="10"/>
        <v>-2.8046571642875957</v>
      </c>
      <c r="G23" s="84">
        <f t="shared" si="10"/>
        <v>-2.5051036999559182</v>
      </c>
      <c r="H23" s="84">
        <f t="shared" si="10"/>
        <v>-2.1770926565127313</v>
      </c>
      <c r="I23" s="84">
        <f t="shared" si="10"/>
        <v>-1.8179205639424418</v>
      </c>
      <c r="J23" s="84">
        <f t="shared" si="10"/>
        <v>-1.4246271225779747</v>
      </c>
      <c r="K23" s="84">
        <f t="shared" si="10"/>
        <v>-0.99397080428388351</v>
      </c>
      <c r="L23" s="84">
        <f t="shared" si="10"/>
        <v>-0.52240213575185346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>C18+C19+C21+C23</f>
        <v>32.432444994402992</v>
      </c>
      <c r="D24" s="122">
        <f t="shared" ref="D24:AF24" si="11">D18+D19+D21+D23</f>
        <v>33.59305773062151</v>
      </c>
      <c r="E24" s="122">
        <f t="shared" si="11"/>
        <v>34.785879880641986</v>
      </c>
      <c r="F24" s="122">
        <f t="shared" si="11"/>
        <v>36.012589026025111</v>
      </c>
      <c r="G24" s="122">
        <f t="shared" si="11"/>
        <v>37.275019015242691</v>
      </c>
      <c r="H24" s="122">
        <f t="shared" si="11"/>
        <v>38.575176250575865</v>
      </c>
      <c r="I24" s="122">
        <f t="shared" si="11"/>
        <v>39.915257626900704</v>
      </c>
      <c r="J24" s="122">
        <f t="shared" si="11"/>
        <v>50.923498876164473</v>
      </c>
      <c r="K24" s="122">
        <f t="shared" si="11"/>
        <v>52.350881948102661</v>
      </c>
      <c r="L24" s="122">
        <f t="shared" si="11"/>
        <v>53.826130491835407</v>
      </c>
      <c r="M24" s="122">
        <f t="shared" si="11"/>
        <v>55.358456270749159</v>
      </c>
      <c r="N24" s="122">
        <f t="shared" si="11"/>
        <v>56.373856329779315</v>
      </c>
      <c r="O24" s="122">
        <f t="shared" si="11"/>
        <v>57.393904245416621</v>
      </c>
      <c r="P24" s="122">
        <f t="shared" si="11"/>
        <v>58.417706887552825</v>
      </c>
      <c r="Q24" s="122">
        <f t="shared" si="11"/>
        <v>59.444303029544088</v>
      </c>
      <c r="R24" s="122">
        <f t="shared" si="11"/>
        <v>60.472659653209689</v>
      </c>
      <c r="S24" s="122">
        <f t="shared" si="11"/>
        <v>61.501668076896351</v>
      </c>
      <c r="T24" s="122">
        <f t="shared" si="11"/>
        <v>62.530139898657296</v>
      </c>
      <c r="U24" s="122">
        <f t="shared" si="11"/>
        <v>63.556802746249204</v>
      </c>
      <c r="V24" s="122">
        <f t="shared" si="11"/>
        <v>64.580295825294172</v>
      </c>
      <c r="W24" s="122">
        <f t="shared" si="11"/>
        <v>65.599165256576782</v>
      </c>
      <c r="X24" s="122">
        <f t="shared" si="11"/>
        <v>66.611859193058805</v>
      </c>
      <c r="Y24" s="122">
        <f t="shared" si="11"/>
        <v>67.616722706786732</v>
      </c>
      <c r="Z24" s="122">
        <f t="shared" si="11"/>
        <v>68.611992435443923</v>
      </c>
      <c r="AA24" s="122">
        <f t="shared" si="11"/>
        <v>69.595790977858925</v>
      </c>
      <c r="AB24" s="122">
        <f t="shared" si="11"/>
        <v>70.566121027320463</v>
      </c>
      <c r="AC24" s="122">
        <f t="shared" si="11"/>
        <v>71.520859231070943</v>
      </c>
      <c r="AD24" s="122">
        <f t="shared" si="11"/>
        <v>72.457749763851083</v>
      </c>
      <c r="AE24" s="122">
        <f t="shared" si="11"/>
        <v>73.374397602848575</v>
      </c>
      <c r="AF24" s="129">
        <f t="shared" si="11"/>
        <v>74.26826149085926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0</v>
      </c>
      <c r="E26" s="84">
        <f t="shared" ref="E26:AF26" si="12">D30</f>
        <v>0</v>
      </c>
      <c r="F26" s="84">
        <f t="shared" si="12"/>
        <v>0</v>
      </c>
      <c r="G26" s="84">
        <f t="shared" si="12"/>
        <v>0</v>
      </c>
      <c r="H26" s="84">
        <f t="shared" si="12"/>
        <v>0</v>
      </c>
      <c r="I26" s="84">
        <f t="shared" si="12"/>
        <v>0</v>
      </c>
      <c r="J26" s="84">
        <f t="shared" si="12"/>
        <v>0</v>
      </c>
      <c r="K26" s="84">
        <f t="shared" si="12"/>
        <v>0</v>
      </c>
      <c r="L26" s="84">
        <f t="shared" si="12"/>
        <v>0</v>
      </c>
      <c r="M26" s="84">
        <f t="shared" si="12"/>
        <v>0</v>
      </c>
      <c r="N26" s="84">
        <f t="shared" si="12"/>
        <v>0</v>
      </c>
      <c r="O26" s="84">
        <f t="shared" si="12"/>
        <v>0</v>
      </c>
      <c r="P26" s="84">
        <f t="shared" si="12"/>
        <v>0</v>
      </c>
      <c r="Q26" s="84">
        <f t="shared" si="12"/>
        <v>0</v>
      </c>
      <c r="R26" s="84">
        <f t="shared" si="12"/>
        <v>0</v>
      </c>
      <c r="S26" s="84">
        <f t="shared" si="12"/>
        <v>0</v>
      </c>
      <c r="T26" s="84">
        <f t="shared" si="12"/>
        <v>0</v>
      </c>
      <c r="U26" s="84">
        <f t="shared" si="12"/>
        <v>0</v>
      </c>
      <c r="V26" s="84">
        <f t="shared" si="12"/>
        <v>0</v>
      </c>
      <c r="W26" s="84">
        <f t="shared" si="12"/>
        <v>0</v>
      </c>
      <c r="X26" s="84">
        <f t="shared" si="12"/>
        <v>0</v>
      </c>
      <c r="Y26" s="84">
        <f t="shared" si="12"/>
        <v>0</v>
      </c>
      <c r="Z26" s="84">
        <f t="shared" si="12"/>
        <v>0</v>
      </c>
      <c r="AA26" s="84">
        <f t="shared" si="12"/>
        <v>0</v>
      </c>
      <c r="AB26" s="84">
        <f t="shared" si="12"/>
        <v>0</v>
      </c>
      <c r="AC26" s="84">
        <f t="shared" si="12"/>
        <v>0</v>
      </c>
      <c r="AD26" s="84">
        <f t="shared" si="12"/>
        <v>0</v>
      </c>
      <c r="AE26" s="84">
        <f t="shared" si="12"/>
        <v>0</v>
      </c>
      <c r="AF26" s="85">
        <f t="shared" si="12"/>
        <v>0</v>
      </c>
    </row>
    <row r="27" spans="2:33">
      <c r="B27" s="125" t="s">
        <v>455</v>
      </c>
      <c r="C27" s="122">
        <f>IF(C24&lt;0,C24,IF(C24&gt;0,0))</f>
        <v>0</v>
      </c>
      <c r="D27" s="122">
        <f t="shared" ref="D27:AF27" si="13">IF(D24&lt;0,D24,IF(D24&gt;0,0))</f>
        <v>0</v>
      </c>
      <c r="E27" s="122">
        <f t="shared" si="13"/>
        <v>0</v>
      </c>
      <c r="F27" s="122">
        <f t="shared" si="13"/>
        <v>0</v>
      </c>
      <c r="G27" s="122">
        <f t="shared" si="13"/>
        <v>0</v>
      </c>
      <c r="H27" s="122">
        <f t="shared" si="13"/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22">
        <f t="shared" si="13"/>
        <v>0</v>
      </c>
      <c r="V27" s="122">
        <f t="shared" si="13"/>
        <v>0</v>
      </c>
      <c r="W27" s="122">
        <f t="shared" si="13"/>
        <v>0</v>
      </c>
      <c r="X27" s="122">
        <f t="shared" si="13"/>
        <v>0</v>
      </c>
      <c r="Y27" s="122">
        <f t="shared" si="13"/>
        <v>0</v>
      </c>
      <c r="Z27" s="122">
        <f t="shared" si="13"/>
        <v>0</v>
      </c>
      <c r="AA27" s="122">
        <f t="shared" si="13"/>
        <v>0</v>
      </c>
      <c r="AB27" s="122">
        <f t="shared" si="13"/>
        <v>0</v>
      </c>
      <c r="AC27" s="122">
        <f t="shared" si="13"/>
        <v>0</v>
      </c>
      <c r="AD27" s="122">
        <f t="shared" si="13"/>
        <v>0</v>
      </c>
      <c r="AE27" s="122">
        <f t="shared" si="13"/>
        <v>0</v>
      </c>
      <c r="AF27" s="129">
        <f t="shared" si="13"/>
        <v>0</v>
      </c>
    </row>
    <row r="28" spans="2:33">
      <c r="B28" s="124" t="s">
        <v>456</v>
      </c>
      <c r="C28" s="84">
        <f>C26+C27</f>
        <v>0</v>
      </c>
      <c r="D28" s="84">
        <f t="shared" ref="D28:AF28" si="14">D26+D27</f>
        <v>0</v>
      </c>
      <c r="E28" s="84">
        <f t="shared" si="14"/>
        <v>0</v>
      </c>
      <c r="F28" s="84">
        <f t="shared" si="14"/>
        <v>0</v>
      </c>
      <c r="G28" s="84">
        <f t="shared" si="14"/>
        <v>0</v>
      </c>
      <c r="H28" s="84">
        <f t="shared" si="14"/>
        <v>0</v>
      </c>
      <c r="I28" s="84">
        <f t="shared" si="14"/>
        <v>0</v>
      </c>
      <c r="J28" s="84">
        <f t="shared" si="14"/>
        <v>0</v>
      </c>
      <c r="K28" s="84">
        <f t="shared" si="14"/>
        <v>0</v>
      </c>
      <c r="L28" s="84">
        <f t="shared" si="14"/>
        <v>0</v>
      </c>
      <c r="M28" s="84">
        <f t="shared" si="14"/>
        <v>0</v>
      </c>
      <c r="N28" s="84">
        <f t="shared" si="14"/>
        <v>0</v>
      </c>
      <c r="O28" s="84">
        <f t="shared" si="14"/>
        <v>0</v>
      </c>
      <c r="P28" s="84">
        <f t="shared" si="14"/>
        <v>0</v>
      </c>
      <c r="Q28" s="84">
        <f t="shared" si="14"/>
        <v>0</v>
      </c>
      <c r="R28" s="84">
        <f t="shared" si="14"/>
        <v>0</v>
      </c>
      <c r="S28" s="84">
        <f t="shared" si="14"/>
        <v>0</v>
      </c>
      <c r="T28" s="84">
        <f t="shared" si="14"/>
        <v>0</v>
      </c>
      <c r="U28" s="84">
        <f t="shared" si="14"/>
        <v>0</v>
      </c>
      <c r="V28" s="84">
        <f t="shared" si="14"/>
        <v>0</v>
      </c>
      <c r="W28" s="84">
        <f t="shared" si="14"/>
        <v>0</v>
      </c>
      <c r="X28" s="84">
        <f t="shared" si="14"/>
        <v>0</v>
      </c>
      <c r="Y28" s="84">
        <f t="shared" si="14"/>
        <v>0</v>
      </c>
      <c r="Z28" s="84">
        <f t="shared" si="14"/>
        <v>0</v>
      </c>
      <c r="AA28" s="84">
        <f t="shared" si="14"/>
        <v>0</v>
      </c>
      <c r="AB28" s="84">
        <f t="shared" si="14"/>
        <v>0</v>
      </c>
      <c r="AC28" s="84">
        <f t="shared" si="14"/>
        <v>0</v>
      </c>
      <c r="AD28" s="84">
        <f t="shared" si="14"/>
        <v>0</v>
      </c>
      <c r="AE28" s="84">
        <f t="shared" si="14"/>
        <v>0</v>
      </c>
      <c r="AF28" s="85">
        <f t="shared" si="14"/>
        <v>0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5">IF(D24&lt;0,0,IF(D24+D28&lt;0,D24,IF(D24+D28&gt;0,-D28)))</f>
        <v>0</v>
      </c>
      <c r="E29" s="122">
        <f t="shared" si="15"/>
        <v>0</v>
      </c>
      <c r="F29" s="122">
        <f t="shared" si="15"/>
        <v>0</v>
      </c>
      <c r="G29" s="122">
        <f t="shared" si="15"/>
        <v>0</v>
      </c>
      <c r="H29" s="122">
        <f t="shared" si="15"/>
        <v>0</v>
      </c>
      <c r="I29" s="122">
        <f t="shared" si="15"/>
        <v>0</v>
      </c>
      <c r="J29" s="122">
        <f t="shared" si="15"/>
        <v>0</v>
      </c>
      <c r="K29" s="122">
        <f t="shared" si="15"/>
        <v>0</v>
      </c>
      <c r="L29" s="122">
        <f t="shared" si="15"/>
        <v>0</v>
      </c>
      <c r="M29" s="122">
        <f t="shared" si="15"/>
        <v>0</v>
      </c>
      <c r="N29" s="122">
        <f t="shared" si="15"/>
        <v>0</v>
      </c>
      <c r="O29" s="122">
        <f t="shared" si="15"/>
        <v>0</v>
      </c>
      <c r="P29" s="122">
        <f t="shared" si="15"/>
        <v>0</v>
      </c>
      <c r="Q29" s="122">
        <f t="shared" si="15"/>
        <v>0</v>
      </c>
      <c r="R29" s="122">
        <f t="shared" si="15"/>
        <v>0</v>
      </c>
      <c r="S29" s="122">
        <f t="shared" si="15"/>
        <v>0</v>
      </c>
      <c r="T29" s="122">
        <f t="shared" si="15"/>
        <v>0</v>
      </c>
      <c r="U29" s="122">
        <f t="shared" si="15"/>
        <v>0</v>
      </c>
      <c r="V29" s="122">
        <f t="shared" si="15"/>
        <v>0</v>
      </c>
      <c r="W29" s="122">
        <f t="shared" si="15"/>
        <v>0</v>
      </c>
      <c r="X29" s="122">
        <f t="shared" si="15"/>
        <v>0</v>
      </c>
      <c r="Y29" s="122">
        <f t="shared" si="15"/>
        <v>0</v>
      </c>
      <c r="Z29" s="122">
        <f t="shared" si="15"/>
        <v>0</v>
      </c>
      <c r="AA29" s="122">
        <f t="shared" si="15"/>
        <v>0</v>
      </c>
      <c r="AB29" s="122">
        <f t="shared" si="15"/>
        <v>0</v>
      </c>
      <c r="AC29" s="122">
        <f t="shared" si="15"/>
        <v>0</v>
      </c>
      <c r="AD29" s="122">
        <f t="shared" si="15"/>
        <v>0</v>
      </c>
      <c r="AE29" s="122">
        <f t="shared" si="15"/>
        <v>0</v>
      </c>
      <c r="AF29" s="129">
        <f t="shared" si="15"/>
        <v>0</v>
      </c>
    </row>
    <row r="30" spans="2:33">
      <c r="B30" s="126" t="s">
        <v>458</v>
      </c>
      <c r="C30" s="127">
        <f>C28+C29</f>
        <v>0</v>
      </c>
      <c r="D30" s="127">
        <f t="shared" ref="D30:AF30" si="16">D28+D29</f>
        <v>0</v>
      </c>
      <c r="E30" s="127">
        <f t="shared" si="16"/>
        <v>0</v>
      </c>
      <c r="F30" s="127">
        <f t="shared" si="16"/>
        <v>0</v>
      </c>
      <c r="G30" s="127">
        <f t="shared" si="16"/>
        <v>0</v>
      </c>
      <c r="H30" s="127">
        <f t="shared" si="16"/>
        <v>0</v>
      </c>
      <c r="I30" s="127">
        <f t="shared" si="16"/>
        <v>0</v>
      </c>
      <c r="J30" s="127">
        <f t="shared" si="16"/>
        <v>0</v>
      </c>
      <c r="K30" s="127">
        <f t="shared" si="16"/>
        <v>0</v>
      </c>
      <c r="L30" s="127">
        <f t="shared" si="16"/>
        <v>0</v>
      </c>
      <c r="M30" s="127">
        <f t="shared" si="16"/>
        <v>0</v>
      </c>
      <c r="N30" s="127">
        <f t="shared" si="16"/>
        <v>0</v>
      </c>
      <c r="O30" s="127">
        <f t="shared" si="16"/>
        <v>0</v>
      </c>
      <c r="P30" s="127">
        <f t="shared" si="16"/>
        <v>0</v>
      </c>
      <c r="Q30" s="127">
        <f t="shared" si="16"/>
        <v>0</v>
      </c>
      <c r="R30" s="127">
        <f t="shared" si="16"/>
        <v>0</v>
      </c>
      <c r="S30" s="127">
        <f t="shared" si="16"/>
        <v>0</v>
      </c>
      <c r="T30" s="127">
        <f t="shared" si="16"/>
        <v>0</v>
      </c>
      <c r="U30" s="127">
        <f t="shared" si="16"/>
        <v>0</v>
      </c>
      <c r="V30" s="127">
        <f t="shared" si="16"/>
        <v>0</v>
      </c>
      <c r="W30" s="127">
        <f t="shared" si="16"/>
        <v>0</v>
      </c>
      <c r="X30" s="127">
        <f t="shared" si="16"/>
        <v>0</v>
      </c>
      <c r="Y30" s="127">
        <f t="shared" si="16"/>
        <v>0</v>
      </c>
      <c r="Z30" s="127">
        <f t="shared" si="16"/>
        <v>0</v>
      </c>
      <c r="AA30" s="127">
        <f t="shared" si="16"/>
        <v>0</v>
      </c>
      <c r="AB30" s="127">
        <f t="shared" si="16"/>
        <v>0</v>
      </c>
      <c r="AC30" s="127">
        <f t="shared" si="16"/>
        <v>0</v>
      </c>
      <c r="AD30" s="127">
        <f t="shared" si="16"/>
        <v>0</v>
      </c>
      <c r="AE30" s="127">
        <f t="shared" si="16"/>
        <v>0</v>
      </c>
      <c r="AF30" s="130">
        <f t="shared" si="16"/>
        <v>0</v>
      </c>
    </row>
    <row r="31" spans="2:33">
      <c r="B31" s="96" t="s">
        <v>427</v>
      </c>
      <c r="C31" s="84">
        <f>IF(C24&lt;0,0,IF(C24&gt;0,-(C24-C29)*$G$2/100))</f>
        <v>-12.810815772789184</v>
      </c>
      <c r="D31" s="84">
        <f t="shared" ref="D31:AF31" si="17">IF(D24&lt;0,0,IF(D24&gt;0,-(D24-D29)*$G$2/100))</f>
        <v>-13.269257803595497</v>
      </c>
      <c r="E31" s="84">
        <f t="shared" si="17"/>
        <v>-13.740422552853584</v>
      </c>
      <c r="F31" s="84">
        <f t="shared" si="17"/>
        <v>-14.224972665279919</v>
      </c>
      <c r="G31" s="84">
        <f t="shared" si="17"/>
        <v>-14.723632511020861</v>
      </c>
      <c r="H31" s="84">
        <f t="shared" si="17"/>
        <v>-15.237194618977467</v>
      </c>
      <c r="I31" s="84">
        <f t="shared" si="17"/>
        <v>-15.766526762625778</v>
      </c>
      <c r="J31" s="84">
        <f t="shared" si="17"/>
        <v>-20.114782056084966</v>
      </c>
      <c r="K31" s="84">
        <f t="shared" si="17"/>
        <v>-20.678598369500552</v>
      </c>
      <c r="L31" s="84">
        <f t="shared" si="17"/>
        <v>-21.261321544274988</v>
      </c>
      <c r="M31" s="84">
        <f t="shared" si="17"/>
        <v>-21.866590226945917</v>
      </c>
      <c r="N31" s="84">
        <f t="shared" si="17"/>
        <v>-22.267673250262828</v>
      </c>
      <c r="O31" s="84">
        <f t="shared" si="17"/>
        <v>-22.670592176939568</v>
      </c>
      <c r="P31" s="84">
        <f t="shared" si="17"/>
        <v>-23.074994220583367</v>
      </c>
      <c r="Q31" s="84">
        <f t="shared" si="17"/>
        <v>-23.480499696669913</v>
      </c>
      <c r="R31" s="84">
        <f t="shared" si="17"/>
        <v>-23.886700563017826</v>
      </c>
      <c r="S31" s="84">
        <f t="shared" si="17"/>
        <v>-24.293158890374055</v>
      </c>
      <c r="T31" s="84">
        <f t="shared" si="17"/>
        <v>-24.69940525996963</v>
      </c>
      <c r="U31" s="84">
        <f t="shared" si="17"/>
        <v>-25.104937084768434</v>
      </c>
      <c r="V31" s="84">
        <f t="shared" si="17"/>
        <v>-25.509216850991198</v>
      </c>
      <c r="W31" s="84">
        <f t="shared" si="17"/>
        <v>-25.911670276347827</v>
      </c>
      <c r="X31" s="84">
        <f t="shared" si="17"/>
        <v>-26.311684381258228</v>
      </c>
      <c r="Y31" s="84">
        <f t="shared" si="17"/>
        <v>-26.708605469180757</v>
      </c>
      <c r="Z31" s="84">
        <f t="shared" si="17"/>
        <v>-27.101737012000349</v>
      </c>
      <c r="AA31" s="84">
        <f t="shared" si="17"/>
        <v>-27.490337436254276</v>
      </c>
      <c r="AB31" s="84">
        <f t="shared" si="17"/>
        <v>-27.873617805791582</v>
      </c>
      <c r="AC31" s="84">
        <f t="shared" si="17"/>
        <v>-28.250739396273026</v>
      </c>
      <c r="AD31" s="84">
        <f t="shared" si="17"/>
        <v>-28.620811156721178</v>
      </c>
      <c r="AE31" s="84">
        <f t="shared" si="17"/>
        <v>-28.982887053125186</v>
      </c>
      <c r="AF31" s="85">
        <f t="shared" si="17"/>
        <v>-29.335963288889406</v>
      </c>
      <c r="AG31" s="101"/>
    </row>
    <row r="32" spans="2:33">
      <c r="B32" s="27" t="s">
        <v>428</v>
      </c>
      <c r="C32" s="84">
        <f t="shared" ref="C32:AF32" si="18">C20+C31</f>
        <v>26.84581518344298</v>
      </c>
      <c r="D32" s="84">
        <f t="shared" si="18"/>
        <v>27.319829839057359</v>
      </c>
      <c r="E32" s="84">
        <f t="shared" si="18"/>
        <v>27.791656365291129</v>
      </c>
      <c r="F32" s="84">
        <f t="shared" si="18"/>
        <v>28.260250590639082</v>
      </c>
      <c r="G32" s="84">
        <f t="shared" si="18"/>
        <v>28.724467269784043</v>
      </c>
      <c r="H32" s="84">
        <f t="shared" si="18"/>
        <v>29.183051353717424</v>
      </c>
      <c r="I32" s="84">
        <f t="shared" si="18"/>
        <v>29.634628493823662</v>
      </c>
      <c r="J32" s="84">
        <f t="shared" si="18"/>
        <v>26.275492416983806</v>
      </c>
      <c r="K32" s="84">
        <f t="shared" si="18"/>
        <v>26.708402857212317</v>
      </c>
      <c r="L32" s="84">
        <f t="shared" si="18"/>
        <v>27.129359557638598</v>
      </c>
      <c r="M32" s="84">
        <f t="shared" si="18"/>
        <v>33.491866043803242</v>
      </c>
      <c r="N32" s="84">
        <f t="shared" si="18"/>
        <v>34.106183079516484</v>
      </c>
      <c r="O32" s="84">
        <f t="shared" si="18"/>
        <v>34.723312068477057</v>
      </c>
      <c r="P32" s="84">
        <f t="shared" si="18"/>
        <v>35.342712666969462</v>
      </c>
      <c r="Q32" s="84">
        <f t="shared" si="18"/>
        <v>35.963803332874178</v>
      </c>
      <c r="R32" s="84">
        <f t="shared" si="18"/>
        <v>36.585959090191864</v>
      </c>
      <c r="S32" s="84">
        <f t="shared" si="18"/>
        <v>37.208509186522292</v>
      </c>
      <c r="T32" s="84">
        <f t="shared" si="18"/>
        <v>37.830734638687666</v>
      </c>
      <c r="U32" s="84">
        <f t="shared" si="18"/>
        <v>38.451865661480767</v>
      </c>
      <c r="V32" s="84">
        <f t="shared" si="18"/>
        <v>39.071078974302978</v>
      </c>
      <c r="W32" s="84">
        <f t="shared" si="18"/>
        <v>39.687494980228955</v>
      </c>
      <c r="X32" s="84">
        <f t="shared" si="18"/>
        <v>40.300174811800574</v>
      </c>
      <c r="Y32" s="84">
        <f t="shared" si="18"/>
        <v>40.908117237605978</v>
      </c>
      <c r="Z32" s="84">
        <f t="shared" si="18"/>
        <v>41.510255423443574</v>
      </c>
      <c r="AA32" s="84">
        <f t="shared" si="18"/>
        <v>42.105453541604646</v>
      </c>
      <c r="AB32" s="84">
        <f t="shared" si="18"/>
        <v>42.692503221528881</v>
      </c>
      <c r="AC32" s="84">
        <f t="shared" si="18"/>
        <v>43.270119834797917</v>
      </c>
      <c r="AD32" s="84">
        <f t="shared" si="18"/>
        <v>43.836938607129909</v>
      </c>
      <c r="AE32" s="84">
        <f t="shared" si="18"/>
        <v>44.391510549723392</v>
      </c>
      <c r="AF32" s="85">
        <f t="shared" si="18"/>
        <v>44.932298201969857</v>
      </c>
    </row>
    <row r="33" spans="2:33">
      <c r="B33" s="27" t="s">
        <v>422</v>
      </c>
      <c r="C33" s="84">
        <f>G4</f>
        <v>5.3307615910151436E-2</v>
      </c>
      <c r="D33" s="84">
        <f t="shared" ref="D33:AF33" si="19">$G$4*(1+$E$9/100)^(D16-$C$16)</f>
        <v>5.490684438745598E-2</v>
      </c>
      <c r="E33" s="84">
        <f t="shared" si="19"/>
        <v>5.6554049719079659E-2</v>
      </c>
      <c r="F33" s="84">
        <f t="shared" si="19"/>
        <v>5.8250671210652048E-2</v>
      </c>
      <c r="G33" s="84">
        <f t="shared" si="19"/>
        <v>5.9998191346971604E-2</v>
      </c>
      <c r="H33" s="84">
        <f t="shared" si="19"/>
        <v>6.1798137087380751E-2</v>
      </c>
      <c r="I33" s="84">
        <f t="shared" si="19"/>
        <v>6.3652081200002181E-2</v>
      </c>
      <c r="J33" s="84">
        <f t="shared" si="19"/>
        <v>6.556164363600224E-2</v>
      </c>
      <c r="K33" s="84">
        <f t="shared" si="19"/>
        <v>6.75284929450823E-2</v>
      </c>
      <c r="L33" s="84">
        <f t="shared" si="19"/>
        <v>6.9554347733434774E-2</v>
      </c>
      <c r="M33" s="84">
        <f t="shared" si="19"/>
        <v>7.1640978165437824E-2</v>
      </c>
      <c r="N33" s="84">
        <f t="shared" si="19"/>
        <v>7.3790207510400954E-2</v>
      </c>
      <c r="O33" s="84">
        <f t="shared" si="19"/>
        <v>7.6003913735712969E-2</v>
      </c>
      <c r="P33" s="84">
        <f t="shared" si="19"/>
        <v>7.8284031147784358E-2</v>
      </c>
      <c r="Q33" s="84">
        <f t="shared" si="19"/>
        <v>8.0632552082217895E-2</v>
      </c>
      <c r="R33" s="84">
        <f t="shared" si="19"/>
        <v>8.3051528644684444E-2</v>
      </c>
      <c r="S33" s="84">
        <f t="shared" si="19"/>
        <v>8.5543074504024957E-2</v>
      </c>
      <c r="T33" s="84">
        <f t="shared" si="19"/>
        <v>8.8109366739145711E-2</v>
      </c>
      <c r="U33" s="84">
        <f t="shared" si="19"/>
        <v>9.075264774132008E-2</v>
      </c>
      <c r="V33" s="84">
        <f t="shared" si="19"/>
        <v>9.3475227173559675E-2</v>
      </c>
      <c r="W33" s="84">
        <f t="shared" si="19"/>
        <v>9.6279483988766471E-2</v>
      </c>
      <c r="X33" s="84">
        <f t="shared" si="19"/>
        <v>9.9167868508429444E-2</v>
      </c>
      <c r="Y33" s="84">
        <f t="shared" si="19"/>
        <v>0.10214290456368234</v>
      </c>
      <c r="Z33" s="84">
        <f t="shared" si="19"/>
        <v>0.10520719170059283</v>
      </c>
      <c r="AA33" s="84">
        <f t="shared" si="19"/>
        <v>0.10836340745161059</v>
      </c>
      <c r="AB33" s="84">
        <f t="shared" si="19"/>
        <v>0.11161430967515891</v>
      </c>
      <c r="AC33" s="84">
        <f t="shared" si="19"/>
        <v>0.11496273896541369</v>
      </c>
      <c r="AD33" s="84">
        <f t="shared" si="19"/>
        <v>0.11841162113437609</v>
      </c>
      <c r="AE33" s="84">
        <f t="shared" si="19"/>
        <v>0.12196396976840737</v>
      </c>
      <c r="AF33" s="85">
        <f t="shared" si="19"/>
        <v>0.12562288886145959</v>
      </c>
    </row>
    <row r="34" spans="2:33">
      <c r="B34" s="27" t="s">
        <v>430</v>
      </c>
      <c r="C34" s="84">
        <f>C32+C33</f>
        <v>26.89912279935313</v>
      </c>
      <c r="D34" s="84">
        <f t="shared" ref="D34:AF34" si="20">D32+D33</f>
        <v>27.374736683444816</v>
      </c>
      <c r="E34" s="84">
        <f>E32+E33</f>
        <v>27.848210415010207</v>
      </c>
      <c r="F34" s="84">
        <f t="shared" si="20"/>
        <v>28.318501261849732</v>
      </c>
      <c r="G34" s="84">
        <f t="shared" si="20"/>
        <v>28.784465461131013</v>
      </c>
      <c r="H34" s="84">
        <f t="shared" si="20"/>
        <v>29.244849490804803</v>
      </c>
      <c r="I34" s="84">
        <f t="shared" si="20"/>
        <v>29.698280575023663</v>
      </c>
      <c r="J34" s="84">
        <f t="shared" si="20"/>
        <v>26.341054060619808</v>
      </c>
      <c r="K34" s="84">
        <f t="shared" si="20"/>
        <v>26.7759313501574</v>
      </c>
      <c r="L34" s="84">
        <f t="shared" si="20"/>
        <v>27.198913905372031</v>
      </c>
      <c r="M34" s="84">
        <f t="shared" si="20"/>
        <v>33.563507021968682</v>
      </c>
      <c r="N34" s="84">
        <f t="shared" si="20"/>
        <v>34.179973287026883</v>
      </c>
      <c r="O34" s="84">
        <f t="shared" si="20"/>
        <v>34.799315982212768</v>
      </c>
      <c r="P34" s="84">
        <f t="shared" si="20"/>
        <v>35.420996698117243</v>
      </c>
      <c r="Q34" s="84">
        <f t="shared" si="20"/>
        <v>36.0444358849564</v>
      </c>
      <c r="R34" s="84">
        <f t="shared" si="20"/>
        <v>36.669010618836545</v>
      </c>
      <c r="S34" s="84">
        <f t="shared" si="20"/>
        <v>37.294052261026316</v>
      </c>
      <c r="T34" s="84">
        <f t="shared" si="20"/>
        <v>37.918844005426813</v>
      </c>
      <c r="U34" s="84">
        <f t="shared" si="20"/>
        <v>38.542618309222085</v>
      </c>
      <c r="V34" s="84">
        <f t="shared" si="20"/>
        <v>39.164554201476534</v>
      </c>
      <c r="W34" s="84">
        <f t="shared" si="20"/>
        <v>39.783774464217721</v>
      </c>
      <c r="X34" s="84">
        <f t="shared" si="20"/>
        <v>40.399342680309005</v>
      </c>
      <c r="Y34" s="84">
        <f t="shared" si="20"/>
        <v>41.010260142169663</v>
      </c>
      <c r="Z34" s="84">
        <f t="shared" si="20"/>
        <v>41.615462615144168</v>
      </c>
      <c r="AA34" s="84">
        <f t="shared" si="20"/>
        <v>42.213816949056259</v>
      </c>
      <c r="AB34" s="84">
        <f t="shared" si="20"/>
        <v>42.804117531204042</v>
      </c>
      <c r="AC34" s="84">
        <f t="shared" si="20"/>
        <v>43.385082573763334</v>
      </c>
      <c r="AD34" s="84">
        <f t="shared" si="20"/>
        <v>43.955350228264287</v>
      </c>
      <c r="AE34" s="84">
        <f t="shared" si="20"/>
        <v>44.513474519491801</v>
      </c>
      <c r="AF34" s="85">
        <f t="shared" si="20"/>
        <v>45.057921090831314</v>
      </c>
    </row>
    <row r="35" spans="2:33">
      <c r="B35" s="27" t="s">
        <v>431</v>
      </c>
      <c r="C35" s="84">
        <f>C34-E4</f>
        <v>-10.53465505562454</v>
      </c>
      <c r="D35" s="84">
        <f>D34</f>
        <v>27.374736683444816</v>
      </c>
      <c r="E35" s="84">
        <f>E34</f>
        <v>27.848210415010207</v>
      </c>
      <c r="F35" s="84">
        <f t="shared" ref="F35:AF35" si="21">F34</f>
        <v>28.318501261849732</v>
      </c>
      <c r="G35" s="84">
        <f t="shared" si="21"/>
        <v>28.784465461131013</v>
      </c>
      <c r="H35" s="84">
        <f t="shared" si="21"/>
        <v>29.244849490804803</v>
      </c>
      <c r="I35" s="84">
        <f t="shared" si="21"/>
        <v>29.698280575023663</v>
      </c>
      <c r="J35" s="84">
        <f t="shared" si="21"/>
        <v>26.341054060619808</v>
      </c>
      <c r="K35" s="84">
        <f t="shared" si="21"/>
        <v>26.7759313501574</v>
      </c>
      <c r="L35" s="84">
        <f t="shared" si="21"/>
        <v>27.198913905372031</v>
      </c>
      <c r="M35" s="84">
        <f t="shared" si="21"/>
        <v>33.563507021968682</v>
      </c>
      <c r="N35" s="84">
        <f t="shared" si="21"/>
        <v>34.179973287026883</v>
      </c>
      <c r="O35" s="84">
        <f t="shared" si="21"/>
        <v>34.799315982212768</v>
      </c>
      <c r="P35" s="84">
        <f t="shared" si="21"/>
        <v>35.420996698117243</v>
      </c>
      <c r="Q35" s="84">
        <f t="shared" si="21"/>
        <v>36.0444358849564</v>
      </c>
      <c r="R35" s="84">
        <f t="shared" si="21"/>
        <v>36.669010618836545</v>
      </c>
      <c r="S35" s="84">
        <f t="shared" si="21"/>
        <v>37.294052261026316</v>
      </c>
      <c r="T35" s="84">
        <f t="shared" si="21"/>
        <v>37.918844005426813</v>
      </c>
      <c r="U35" s="84">
        <f t="shared" si="21"/>
        <v>38.542618309222085</v>
      </c>
      <c r="V35" s="84">
        <f t="shared" si="21"/>
        <v>39.164554201476534</v>
      </c>
      <c r="W35" s="84">
        <f t="shared" si="21"/>
        <v>39.783774464217721</v>
      </c>
      <c r="X35" s="84">
        <f t="shared" si="21"/>
        <v>40.399342680309005</v>
      </c>
      <c r="Y35" s="84">
        <f t="shared" si="21"/>
        <v>41.010260142169663</v>
      </c>
      <c r="Z35" s="84">
        <f t="shared" si="21"/>
        <v>41.615462615144168</v>
      </c>
      <c r="AA35" s="84">
        <f t="shared" si="21"/>
        <v>42.213816949056259</v>
      </c>
      <c r="AB35" s="84">
        <f t="shared" si="21"/>
        <v>42.804117531204042</v>
      </c>
      <c r="AC35" s="84">
        <f t="shared" si="21"/>
        <v>43.385082573763334</v>
      </c>
      <c r="AD35" s="84">
        <f t="shared" si="21"/>
        <v>43.955350228264287</v>
      </c>
      <c r="AE35" s="84">
        <f t="shared" si="21"/>
        <v>44.513474519491801</v>
      </c>
      <c r="AF35" s="85">
        <f t="shared" si="21"/>
        <v>45.057921090831314</v>
      </c>
      <c r="AG35" s="101"/>
    </row>
    <row r="36" spans="2:33">
      <c r="B36" s="27" t="s">
        <v>432</v>
      </c>
      <c r="C36" s="84">
        <f>C35</f>
        <v>-10.53465505562454</v>
      </c>
      <c r="D36" s="84">
        <f t="shared" ref="D36:AF36" si="22">D35/(1+$E$5/100)^(D16-$C$16)</f>
        <v>23.804118855169406</v>
      </c>
      <c r="E36" s="84">
        <f t="shared" si="22"/>
        <v>21.057247950858383</v>
      </c>
      <c r="F36" s="84">
        <f t="shared" si="22"/>
        <v>18.619874257811944</v>
      </c>
      <c r="G36" s="84">
        <f t="shared" si="22"/>
        <v>16.457611550062229</v>
      </c>
      <c r="H36" s="84">
        <f t="shared" si="22"/>
        <v>14.539858794128188</v>
      </c>
      <c r="I36" s="84">
        <f t="shared" si="22"/>
        <v>12.839386243706857</v>
      </c>
      <c r="J36" s="84">
        <f t="shared" si="22"/>
        <v>9.9025778920035705</v>
      </c>
      <c r="K36" s="84">
        <f t="shared" si="22"/>
        <v>8.7530994547496626</v>
      </c>
      <c r="L36" s="84">
        <f t="shared" si="22"/>
        <v>7.7316288716133128</v>
      </c>
      <c r="M36" s="84">
        <f t="shared" si="22"/>
        <v>8.2963856196445107</v>
      </c>
      <c r="N36" s="84">
        <f t="shared" si="22"/>
        <v>7.3467536106147531</v>
      </c>
      <c r="O36" s="84">
        <f t="shared" si="22"/>
        <v>6.5042409786806923</v>
      </c>
      <c r="P36" s="84">
        <f t="shared" si="22"/>
        <v>5.7569022170577417</v>
      </c>
      <c r="Q36" s="84">
        <f t="shared" si="22"/>
        <v>5.0941117514882439</v>
      </c>
      <c r="R36" s="84">
        <f t="shared" si="22"/>
        <v>4.5064191829909346</v>
      </c>
      <c r="S36" s="84">
        <f t="shared" si="22"/>
        <v>3.9854203076867352</v>
      </c>
      <c r="T36" s="84">
        <f t="shared" si="22"/>
        <v>3.5236422031216552</v>
      </c>
      <c r="U36" s="84">
        <f t="shared" si="22"/>
        <v>3.1144408551509013</v>
      </c>
      <c r="V36" s="84">
        <f t="shared" si="22"/>
        <v>2.7519099642365252</v>
      </c>
      <c r="W36" s="84">
        <f t="shared" si="22"/>
        <v>2.4307997170717601</v>
      </c>
      <c r="X36" s="84">
        <f t="shared" si="22"/>
        <v>2.1464444406798924</v>
      </c>
      <c r="Y36" s="84">
        <f t="shared" si="22"/>
        <v>1.8946981732409962</v>
      </c>
      <c r="Z36" s="84">
        <f t="shared" si="22"/>
        <v>1.6718772903923549</v>
      </c>
      <c r="AA36" s="84">
        <f t="shared" si="22"/>
        <v>1.4747094189816594</v>
      </c>
      <c r="AB36" s="84">
        <f t="shared" si="22"/>
        <v>1.3002879534348206</v>
      </c>
      <c r="AC36" s="84">
        <f t="shared" si="22"/>
        <v>1.1460315641122403</v>
      </c>
      <c r="AD36" s="84">
        <f t="shared" si="22"/>
        <v>1.0096481532323682</v>
      </c>
      <c r="AE36" s="84">
        <f t="shared" si="22"/>
        <v>0.88910277300009155</v>
      </c>
      <c r="AF36" s="85">
        <f t="shared" si="22"/>
        <v>0.7825890732583779</v>
      </c>
      <c r="AG36" s="101"/>
    </row>
    <row r="37" spans="2:33" ht="15.75" thickBot="1">
      <c r="B37" s="29" t="s">
        <v>433</v>
      </c>
      <c r="C37" s="87">
        <f>C36</f>
        <v>-10.53465505562454</v>
      </c>
      <c r="D37" s="87">
        <f>C37+D36</f>
        <v>13.269463799544866</v>
      </c>
      <c r="E37" s="87">
        <f t="shared" ref="E37:AF37" si="23">D37+E36</f>
        <v>34.326711750403248</v>
      </c>
      <c r="F37" s="87">
        <f t="shared" si="23"/>
        <v>52.946586008215192</v>
      </c>
      <c r="G37" s="87">
        <f t="shared" si="23"/>
        <v>69.404197558277417</v>
      </c>
      <c r="H37" s="87">
        <f t="shared" si="23"/>
        <v>83.94405635240561</v>
      </c>
      <c r="I37" s="87">
        <f t="shared" si="23"/>
        <v>96.783442596112465</v>
      </c>
      <c r="J37" s="87">
        <f t="shared" si="23"/>
        <v>106.68602048811604</v>
      </c>
      <c r="K37" s="87">
        <f t="shared" si="23"/>
        <v>115.4391199428657</v>
      </c>
      <c r="L37" s="87">
        <f t="shared" si="23"/>
        <v>123.17074881447901</v>
      </c>
      <c r="M37" s="87">
        <f t="shared" si="23"/>
        <v>131.46713443412352</v>
      </c>
      <c r="N37" s="87">
        <f t="shared" si="23"/>
        <v>138.81388804473826</v>
      </c>
      <c r="O37" s="87">
        <f t="shared" si="23"/>
        <v>145.31812902341895</v>
      </c>
      <c r="P37" s="87">
        <f t="shared" si="23"/>
        <v>151.07503124047668</v>
      </c>
      <c r="Q37" s="87">
        <f t="shared" si="23"/>
        <v>156.16914299196492</v>
      </c>
      <c r="R37" s="87">
        <f t="shared" si="23"/>
        <v>160.67556217495584</v>
      </c>
      <c r="S37" s="87">
        <f t="shared" si="23"/>
        <v>164.66098248264257</v>
      </c>
      <c r="T37" s="87">
        <f t="shared" si="23"/>
        <v>168.18462468576422</v>
      </c>
      <c r="U37" s="87">
        <f t="shared" si="23"/>
        <v>171.29906554091511</v>
      </c>
      <c r="V37" s="87">
        <f t="shared" si="23"/>
        <v>174.05097550515163</v>
      </c>
      <c r="W37" s="87">
        <f t="shared" si="23"/>
        <v>176.48177522222338</v>
      </c>
      <c r="X37" s="87">
        <f t="shared" si="23"/>
        <v>178.62821966290326</v>
      </c>
      <c r="Y37" s="87">
        <f t="shared" si="23"/>
        <v>180.52291783614425</v>
      </c>
      <c r="Z37" s="87">
        <f t="shared" si="23"/>
        <v>182.1947951265366</v>
      </c>
      <c r="AA37" s="87">
        <f t="shared" si="23"/>
        <v>183.66950454551827</v>
      </c>
      <c r="AB37" s="87">
        <f t="shared" si="23"/>
        <v>184.9697924989531</v>
      </c>
      <c r="AC37" s="87">
        <f t="shared" si="23"/>
        <v>186.11582406306533</v>
      </c>
      <c r="AD37" s="87">
        <f t="shared" si="23"/>
        <v>187.12547221629771</v>
      </c>
      <c r="AE37" s="87">
        <f t="shared" si="23"/>
        <v>188.01457498929781</v>
      </c>
      <c r="AF37" s="88">
        <f t="shared" si="23"/>
        <v>188.79716406255619</v>
      </c>
    </row>
    <row r="38" spans="2:33">
      <c r="B38" s="25" t="s">
        <v>430</v>
      </c>
      <c r="C38" s="81">
        <f>C32</f>
        <v>26.84581518344298</v>
      </c>
      <c r="D38" s="81">
        <f t="shared" ref="D38:AF38" si="24">D32</f>
        <v>27.319829839057359</v>
      </c>
      <c r="E38" s="81">
        <f t="shared" si="24"/>
        <v>27.791656365291129</v>
      </c>
      <c r="F38" s="81">
        <f t="shared" si="24"/>
        <v>28.260250590639082</v>
      </c>
      <c r="G38" s="81">
        <f t="shared" si="24"/>
        <v>28.724467269784043</v>
      </c>
      <c r="H38" s="81">
        <f t="shared" si="24"/>
        <v>29.183051353717424</v>
      </c>
      <c r="I38" s="81">
        <f t="shared" si="24"/>
        <v>29.634628493823662</v>
      </c>
      <c r="J38" s="81">
        <f t="shared" si="24"/>
        <v>26.275492416983806</v>
      </c>
      <c r="K38" s="81">
        <f t="shared" si="24"/>
        <v>26.708402857212317</v>
      </c>
      <c r="L38" s="81">
        <f t="shared" si="24"/>
        <v>27.129359557638598</v>
      </c>
      <c r="M38" s="81">
        <f t="shared" si="24"/>
        <v>33.491866043803242</v>
      </c>
      <c r="N38" s="81">
        <f t="shared" si="24"/>
        <v>34.106183079516484</v>
      </c>
      <c r="O38" s="81">
        <f t="shared" si="24"/>
        <v>34.723312068477057</v>
      </c>
      <c r="P38" s="81">
        <f t="shared" si="24"/>
        <v>35.342712666969462</v>
      </c>
      <c r="Q38" s="81">
        <f t="shared" si="24"/>
        <v>35.963803332874178</v>
      </c>
      <c r="R38" s="81">
        <f t="shared" si="24"/>
        <v>36.585959090191864</v>
      </c>
      <c r="S38" s="81">
        <f t="shared" si="24"/>
        <v>37.208509186522292</v>
      </c>
      <c r="T38" s="81">
        <f t="shared" si="24"/>
        <v>37.830734638687666</v>
      </c>
      <c r="U38" s="81">
        <f t="shared" si="24"/>
        <v>38.451865661480767</v>
      </c>
      <c r="V38" s="81">
        <f t="shared" si="24"/>
        <v>39.071078974302978</v>
      </c>
      <c r="W38" s="81">
        <f t="shared" si="24"/>
        <v>39.687494980228955</v>
      </c>
      <c r="X38" s="81">
        <f t="shared" si="24"/>
        <v>40.300174811800574</v>
      </c>
      <c r="Y38" s="81">
        <f t="shared" si="24"/>
        <v>40.908117237605978</v>
      </c>
      <c r="Z38" s="81">
        <f t="shared" si="24"/>
        <v>41.510255423443574</v>
      </c>
      <c r="AA38" s="81">
        <f t="shared" si="24"/>
        <v>42.105453541604646</v>
      </c>
      <c r="AB38" s="81">
        <f t="shared" si="24"/>
        <v>42.692503221528881</v>
      </c>
      <c r="AC38" s="81">
        <f t="shared" si="24"/>
        <v>43.270119834797917</v>
      </c>
      <c r="AD38" s="81">
        <f t="shared" si="24"/>
        <v>43.836938607129909</v>
      </c>
      <c r="AE38" s="81">
        <f t="shared" si="24"/>
        <v>44.391510549723392</v>
      </c>
      <c r="AF38" s="82">
        <f t="shared" si="24"/>
        <v>44.932298201969857</v>
      </c>
    </row>
    <row r="39" spans="2:33">
      <c r="B39" s="27" t="s">
        <v>431</v>
      </c>
      <c r="C39" s="84">
        <f>C38-E4</f>
        <v>-10.58796267153469</v>
      </c>
      <c r="D39" s="84">
        <f>D38</f>
        <v>27.319829839057359</v>
      </c>
      <c r="E39" s="84">
        <f t="shared" ref="E39:AF39" si="25">E38</f>
        <v>27.791656365291129</v>
      </c>
      <c r="F39" s="84">
        <f t="shared" si="25"/>
        <v>28.260250590639082</v>
      </c>
      <c r="G39" s="84">
        <f t="shared" si="25"/>
        <v>28.724467269784043</v>
      </c>
      <c r="H39" s="84">
        <f t="shared" si="25"/>
        <v>29.183051353717424</v>
      </c>
      <c r="I39" s="84">
        <f t="shared" si="25"/>
        <v>29.634628493823662</v>
      </c>
      <c r="J39" s="84">
        <f t="shared" si="25"/>
        <v>26.275492416983806</v>
      </c>
      <c r="K39" s="84">
        <f t="shared" si="25"/>
        <v>26.708402857212317</v>
      </c>
      <c r="L39" s="84">
        <f t="shared" si="25"/>
        <v>27.129359557638598</v>
      </c>
      <c r="M39" s="84">
        <f t="shared" si="25"/>
        <v>33.491866043803242</v>
      </c>
      <c r="N39" s="84">
        <f t="shared" si="25"/>
        <v>34.106183079516484</v>
      </c>
      <c r="O39" s="84">
        <f t="shared" si="25"/>
        <v>34.723312068477057</v>
      </c>
      <c r="P39" s="84">
        <f t="shared" si="25"/>
        <v>35.342712666969462</v>
      </c>
      <c r="Q39" s="84">
        <f t="shared" si="25"/>
        <v>35.963803332874178</v>
      </c>
      <c r="R39" s="84">
        <f t="shared" si="25"/>
        <v>36.585959090191864</v>
      </c>
      <c r="S39" s="84">
        <f t="shared" si="25"/>
        <v>37.208509186522292</v>
      </c>
      <c r="T39" s="84">
        <f t="shared" si="25"/>
        <v>37.830734638687666</v>
      </c>
      <c r="U39" s="84">
        <f t="shared" si="25"/>
        <v>38.451865661480767</v>
      </c>
      <c r="V39" s="84">
        <f t="shared" si="25"/>
        <v>39.071078974302978</v>
      </c>
      <c r="W39" s="84">
        <f t="shared" si="25"/>
        <v>39.687494980228955</v>
      </c>
      <c r="X39" s="84">
        <f t="shared" si="25"/>
        <v>40.300174811800574</v>
      </c>
      <c r="Y39" s="84">
        <f t="shared" si="25"/>
        <v>40.908117237605978</v>
      </c>
      <c r="Z39" s="84">
        <f t="shared" si="25"/>
        <v>41.510255423443574</v>
      </c>
      <c r="AA39" s="84">
        <f t="shared" si="25"/>
        <v>42.105453541604646</v>
      </c>
      <c r="AB39" s="84">
        <f t="shared" si="25"/>
        <v>42.692503221528881</v>
      </c>
      <c r="AC39" s="84">
        <f t="shared" si="25"/>
        <v>43.270119834797917</v>
      </c>
      <c r="AD39" s="84">
        <f t="shared" si="25"/>
        <v>43.836938607129909</v>
      </c>
      <c r="AE39" s="84">
        <f t="shared" si="25"/>
        <v>44.391510549723392</v>
      </c>
      <c r="AF39" s="85">
        <f t="shared" si="25"/>
        <v>44.932298201969857</v>
      </c>
    </row>
    <row r="40" spans="2:33">
      <c r="B40" s="27" t="s">
        <v>432</v>
      </c>
      <c r="C40" s="84">
        <f>C39</f>
        <v>-10.58796267153469</v>
      </c>
      <c r="D40" s="84">
        <f>D39/(1+$E$5/100)^(D16-$C$16)</f>
        <v>23.756373773093358</v>
      </c>
      <c r="E40" s="84">
        <f t="shared" ref="E40:AF40" si="26">E39/(1+$E$5/100)^(E16-$C$16)</f>
        <v>21.014484964303314</v>
      </c>
      <c r="F40" s="84">
        <f t="shared" si="26"/>
        <v>18.581573495940884</v>
      </c>
      <c r="G40" s="84">
        <f t="shared" si="26"/>
        <v>16.423307389429883</v>
      </c>
      <c r="H40" s="84">
        <f t="shared" si="26"/>
        <v>14.509134198083569</v>
      </c>
      <c r="I40" s="84">
        <f t="shared" si="26"/>
        <v>12.811867692466894</v>
      </c>
      <c r="J40" s="84">
        <f t="shared" si="26"/>
        <v>9.8779308417625593</v>
      </c>
      <c r="K40" s="84">
        <f t="shared" si="26"/>
        <v>8.7310242706207557</v>
      </c>
      <c r="L40" s="84">
        <f t="shared" si="26"/>
        <v>7.7118571849587285</v>
      </c>
      <c r="M40" s="84">
        <f t="shared" si="26"/>
        <v>8.2786770655104025</v>
      </c>
      <c r="N40" s="84">
        <f t="shared" si="26"/>
        <v>7.3308929056076844</v>
      </c>
      <c r="O40" s="84">
        <f t="shared" si="26"/>
        <v>6.4900353037613172</v>
      </c>
      <c r="P40" s="84">
        <f t="shared" si="26"/>
        <v>5.7441788734343024</v>
      </c>
      <c r="Q40" s="84">
        <f t="shared" si="26"/>
        <v>5.0827160611124667</v>
      </c>
      <c r="R40" s="84">
        <f t="shared" si="26"/>
        <v>4.4962126081326304</v>
      </c>
      <c r="S40" s="84">
        <f t="shared" si="26"/>
        <v>3.9762787667266886</v>
      </c>
      <c r="T40" s="84">
        <f t="shared" si="26"/>
        <v>3.5154545620878741</v>
      </c>
      <c r="U40" s="84">
        <f t="shared" si="26"/>
        <v>3.107107576659776</v>
      </c>
      <c r="V40" s="84">
        <f t="shared" si="26"/>
        <v>2.7453418974140393</v>
      </c>
      <c r="W40" s="84">
        <f t="shared" si="26"/>
        <v>2.4249170137437943</v>
      </c>
      <c r="X40" s="84">
        <f t="shared" si="26"/>
        <v>2.1411755846557141</v>
      </c>
      <c r="Y40" s="84">
        <f t="shared" si="26"/>
        <v>1.8899791108889059</v>
      </c>
      <c r="Z40" s="84">
        <f t="shared" si="26"/>
        <v>1.6676506519378742</v>
      </c>
      <c r="AA40" s="84">
        <f t="shared" si="26"/>
        <v>1.4709238210615592</v>
      </c>
      <c r="AB40" s="84">
        <f t="shared" si="26"/>
        <v>1.296897374428122</v>
      </c>
      <c r="AC40" s="84">
        <f t="shared" si="26"/>
        <v>1.1429947846540667</v>
      </c>
      <c r="AD40" s="84">
        <f t="shared" si="26"/>
        <v>1.0069282551089607</v>
      </c>
      <c r="AE40" s="84">
        <f t="shared" si="26"/>
        <v>0.88666669033303958</v>
      </c>
      <c r="AF40" s="85">
        <f t="shared" si="26"/>
        <v>0.78040719052180096</v>
      </c>
    </row>
    <row r="41" spans="2:33" ht="15.75" thickBot="1">
      <c r="B41" s="29" t="s">
        <v>433</v>
      </c>
      <c r="C41" s="87">
        <f>C40</f>
        <v>-10.58796267153469</v>
      </c>
      <c r="D41" s="87">
        <f>D40+C41</f>
        <v>13.168411101558668</v>
      </c>
      <c r="E41" s="87">
        <f t="shared" ref="E41:AF41" si="27">E40+D41</f>
        <v>34.182896065861982</v>
      </c>
      <c r="F41" s="87">
        <f t="shared" si="27"/>
        <v>52.764469561802869</v>
      </c>
      <c r="G41" s="87">
        <f t="shared" si="27"/>
        <v>69.187776951232749</v>
      </c>
      <c r="H41" s="87">
        <f t="shared" si="27"/>
        <v>83.696911149316321</v>
      </c>
      <c r="I41" s="87">
        <f t="shared" si="27"/>
        <v>96.508778841783212</v>
      </c>
      <c r="J41" s="87">
        <f t="shared" si="27"/>
        <v>106.38670968354577</v>
      </c>
      <c r="K41" s="87">
        <f t="shared" si="27"/>
        <v>115.11773395416652</v>
      </c>
      <c r="L41" s="87">
        <f t="shared" si="27"/>
        <v>122.82959113912526</v>
      </c>
      <c r="M41" s="87">
        <f t="shared" si="27"/>
        <v>131.10826820463566</v>
      </c>
      <c r="N41" s="87">
        <f t="shared" si="27"/>
        <v>138.43916111024336</v>
      </c>
      <c r="O41" s="87">
        <f t="shared" si="27"/>
        <v>144.92919641400468</v>
      </c>
      <c r="P41" s="87">
        <f t="shared" si="27"/>
        <v>150.67337528743897</v>
      </c>
      <c r="Q41" s="87">
        <f t="shared" si="27"/>
        <v>155.75609134855145</v>
      </c>
      <c r="R41" s="87">
        <f t="shared" si="27"/>
        <v>160.25230395668407</v>
      </c>
      <c r="S41" s="87">
        <f t="shared" si="27"/>
        <v>164.22858272341077</v>
      </c>
      <c r="T41" s="87">
        <f t="shared" si="27"/>
        <v>167.74403728549865</v>
      </c>
      <c r="U41" s="87">
        <f t="shared" si="27"/>
        <v>170.85114486215843</v>
      </c>
      <c r="V41" s="87">
        <f t="shared" si="27"/>
        <v>173.59648675957249</v>
      </c>
      <c r="W41" s="87">
        <f t="shared" si="27"/>
        <v>176.02140377331628</v>
      </c>
      <c r="X41" s="87">
        <f t="shared" si="27"/>
        <v>178.16257935797199</v>
      </c>
      <c r="Y41" s="87">
        <f t="shared" si="27"/>
        <v>180.05255846886089</v>
      </c>
      <c r="Z41" s="87">
        <f t="shared" si="27"/>
        <v>181.72020912079876</v>
      </c>
      <c r="AA41" s="87">
        <f t="shared" si="27"/>
        <v>183.1911329418603</v>
      </c>
      <c r="AB41" s="87">
        <f t="shared" si="27"/>
        <v>184.48803031628842</v>
      </c>
      <c r="AC41" s="87">
        <f t="shared" si="27"/>
        <v>185.63102510094248</v>
      </c>
      <c r="AD41" s="87">
        <f t="shared" si="27"/>
        <v>186.63795335605144</v>
      </c>
      <c r="AE41" s="87">
        <f t="shared" si="27"/>
        <v>187.52462004638448</v>
      </c>
      <c r="AF41" s="88">
        <f t="shared" si="27"/>
        <v>188.30502723690628</v>
      </c>
    </row>
    <row r="42" spans="2:33">
      <c r="B42" s="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T43" s="74"/>
      <c r="U43" s="74"/>
      <c r="V43" s="74"/>
      <c r="W43" s="74"/>
      <c r="X43" s="74"/>
      <c r="Y43" s="74"/>
      <c r="Z43" s="74"/>
    </row>
    <row r="44" spans="2:33">
      <c r="T44" s="74"/>
      <c r="U44" s="74"/>
      <c r="V44" s="74"/>
      <c r="W44" s="74"/>
      <c r="X44" s="74"/>
      <c r="Y44" s="74"/>
      <c r="Z44" s="74"/>
    </row>
    <row r="45" spans="2:33">
      <c r="T45" s="74"/>
      <c r="U45" s="74"/>
      <c r="V45" s="74"/>
      <c r="W45" s="74"/>
      <c r="X45" s="74"/>
      <c r="Y45" s="74"/>
      <c r="Z45" s="74"/>
    </row>
    <row r="46" spans="2:33">
      <c r="T46" s="74"/>
      <c r="U46" s="74"/>
      <c r="V46" s="74"/>
      <c r="W46" s="74"/>
      <c r="X46" s="74"/>
      <c r="Y46" s="74"/>
      <c r="Z46" s="74"/>
    </row>
    <row r="47" spans="2:33">
      <c r="T47" s="74"/>
      <c r="U47" s="74"/>
      <c r="V47" s="74"/>
      <c r="W47" s="74"/>
      <c r="X47" s="74"/>
      <c r="Y47" s="74"/>
      <c r="Z47" s="74"/>
    </row>
    <row r="48" spans="2:33">
      <c r="T48" s="74"/>
      <c r="U48" s="74"/>
      <c r="V48" s="74"/>
      <c r="W48" s="74"/>
      <c r="X48" s="74"/>
      <c r="Y48" s="74"/>
      <c r="Z48" s="74"/>
    </row>
    <row r="49" spans="20:26">
      <c r="T49" s="74"/>
      <c r="U49" s="74"/>
      <c r="V49" s="74"/>
      <c r="W49" s="74"/>
      <c r="X49" s="74"/>
      <c r="Y49" s="74"/>
      <c r="Z49" s="74"/>
    </row>
    <row r="50" spans="20:26">
      <c r="T50" s="74"/>
      <c r="U50" s="74"/>
      <c r="V50" s="74"/>
      <c r="W50" s="74"/>
      <c r="X50" s="74"/>
      <c r="Y50" s="74"/>
      <c r="Z50" s="74"/>
    </row>
    <row r="51" spans="20:26">
      <c r="T51" s="74"/>
      <c r="U51" s="74"/>
      <c r="V51" s="74"/>
      <c r="W51" s="74"/>
      <c r="X51" s="74"/>
      <c r="Y51" s="74"/>
      <c r="Z51" s="74"/>
    </row>
    <row r="52" spans="20:26">
      <c r="T52" s="74"/>
      <c r="U52" s="74"/>
      <c r="V52" s="74"/>
      <c r="W52" s="74"/>
      <c r="X52" s="74"/>
      <c r="Y52" s="74"/>
      <c r="Z52" s="74"/>
    </row>
    <row r="53" spans="20:26">
      <c r="T53" s="74"/>
      <c r="U53" s="74"/>
      <c r="V53" s="74"/>
      <c r="W53" s="74"/>
      <c r="X53" s="74"/>
      <c r="Y53" s="74"/>
      <c r="Z53" s="74"/>
    </row>
    <row r="54" spans="20:26">
      <c r="T54" s="74"/>
      <c r="U54" s="74"/>
      <c r="V54" s="74"/>
      <c r="W54" s="74"/>
      <c r="X54" s="74"/>
      <c r="Y54" s="74"/>
      <c r="Z54" s="74"/>
    </row>
    <row r="55" spans="20:26">
      <c r="T55" s="74"/>
      <c r="U55" s="74"/>
      <c r="V55" s="74"/>
      <c r="W55" s="74"/>
      <c r="X55" s="74"/>
      <c r="Y55" s="74"/>
      <c r="Z55" s="7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workbookViewId="0">
      <selection activeCell="E57" sqref="E57"/>
    </sheetView>
  </sheetViews>
  <sheetFormatPr defaultRowHeight="15"/>
  <cols>
    <col min="2" max="2" width="30.7109375" bestFit="1" customWidth="1"/>
    <col min="3" max="3" width="16.85546875" bestFit="1" customWidth="1"/>
    <col min="4" max="4" width="24.85546875" bestFit="1" customWidth="1"/>
    <col min="5" max="5" width="11.28515625" bestFit="1" customWidth="1"/>
    <col min="6" max="6" width="24.85546875" customWidth="1"/>
    <col min="7" max="7" width="14.28515625" bestFit="1" customWidth="1"/>
    <col min="8" max="8" width="10.5703125" customWidth="1"/>
    <col min="10" max="10" width="12.140625" customWidth="1"/>
    <col min="11" max="11" width="10.85546875" customWidth="1"/>
    <col min="19" max="19" width="12.28515625" customWidth="1"/>
  </cols>
  <sheetData>
    <row r="1" spans="2:33">
      <c r="B1" t="s">
        <v>365</v>
      </c>
      <c r="C1" s="74">
        <f>FCI!D44*G8*G9</f>
        <v>87.952814340677619</v>
      </c>
      <c r="D1" s="74"/>
      <c r="E1" s="74"/>
      <c r="F1" s="74"/>
      <c r="G1" s="74" t="s">
        <v>285</v>
      </c>
      <c r="H1" s="74" t="s">
        <v>286</v>
      </c>
      <c r="I1" s="74" t="s">
        <v>287</v>
      </c>
      <c r="J1" s="74" t="s">
        <v>288</v>
      </c>
      <c r="K1" s="74" t="s">
        <v>289</v>
      </c>
      <c r="M1" s="74"/>
      <c r="N1" s="80"/>
      <c r="O1" s="81" t="s">
        <v>374</v>
      </c>
      <c r="P1" s="81" t="s">
        <v>416</v>
      </c>
      <c r="Q1" s="82" t="s">
        <v>375</v>
      </c>
      <c r="R1" s="74"/>
      <c r="S1" s="74"/>
      <c r="T1" s="74"/>
      <c r="U1" s="74"/>
      <c r="V1" s="74"/>
      <c r="W1" s="74"/>
      <c r="X1" s="74"/>
      <c r="Y1" s="74"/>
      <c r="Z1" s="74"/>
    </row>
    <row r="2" spans="2:33">
      <c r="B2" t="s">
        <v>366</v>
      </c>
      <c r="C2" s="74">
        <f>C1*E2/100</f>
        <v>79.157532906609859</v>
      </c>
      <c r="D2" s="74" t="s">
        <v>436</v>
      </c>
      <c r="E2" s="74">
        <v>90</v>
      </c>
      <c r="F2" t="s">
        <v>417</v>
      </c>
      <c r="G2" s="74">
        <v>39.5</v>
      </c>
      <c r="H2" s="30">
        <v>25.7</v>
      </c>
      <c r="I2" s="30">
        <v>20</v>
      </c>
      <c r="J2" s="30">
        <v>30</v>
      </c>
      <c r="K2" s="30">
        <v>25</v>
      </c>
      <c r="M2" s="74"/>
      <c r="N2" s="83">
        <v>2018</v>
      </c>
      <c r="O2" s="84">
        <f>E3</f>
        <v>43.97640717033881</v>
      </c>
      <c r="P2" s="84">
        <f>O2*$C$5/100</f>
        <v>4.177758681182187</v>
      </c>
      <c r="Q2" s="85">
        <f>O2+P2-$C$7</f>
        <v>41.155007194294591</v>
      </c>
      <c r="R2" s="74"/>
      <c r="S2" s="74"/>
      <c r="T2" s="74"/>
      <c r="U2" s="74"/>
      <c r="V2" s="74"/>
      <c r="W2" s="74"/>
      <c r="X2" s="74"/>
      <c r="Y2" s="74"/>
      <c r="Z2" s="74"/>
    </row>
    <row r="3" spans="2:33">
      <c r="B3" t="s">
        <v>367</v>
      </c>
      <c r="C3" s="74">
        <v>0.5</v>
      </c>
      <c r="D3" s="74" t="s">
        <v>369</v>
      </c>
      <c r="E3" s="74">
        <f>C3*C1</f>
        <v>43.97640717033881</v>
      </c>
      <c r="F3" t="s">
        <v>418</v>
      </c>
      <c r="G3" s="74">
        <v>0</v>
      </c>
      <c r="H3" s="30">
        <v>0</v>
      </c>
      <c r="I3" s="30">
        <v>29.3</v>
      </c>
      <c r="J3" s="30">
        <v>3.7</v>
      </c>
      <c r="K3" s="30">
        <v>0</v>
      </c>
      <c r="M3" s="74"/>
      <c r="N3" s="83" t="s">
        <v>376</v>
      </c>
      <c r="O3" s="84">
        <f>Q2</f>
        <v>41.155007194294591</v>
      </c>
      <c r="P3" s="84">
        <f t="shared" ref="P3:P11" si="0">O3*$C$5/100</f>
        <v>3.9097256834579861</v>
      </c>
      <c r="Q3" s="85">
        <f t="shared" ref="Q3:Q11" si="1">O3+P3-$C$7</f>
        <v>38.065574220526166</v>
      </c>
      <c r="T3" s="74"/>
      <c r="U3" s="74"/>
      <c r="V3" s="74"/>
      <c r="W3" s="74"/>
      <c r="X3" s="74"/>
      <c r="Y3" s="74"/>
      <c r="Z3" s="74"/>
    </row>
    <row r="4" spans="2:33">
      <c r="B4" t="s">
        <v>368</v>
      </c>
      <c r="C4" s="74">
        <v>0.5</v>
      </c>
      <c r="D4" s="74" t="s">
        <v>368</v>
      </c>
      <c r="E4" s="74">
        <f>C4*C1</f>
        <v>43.97640717033881</v>
      </c>
      <c r="F4" t="s">
        <v>422</v>
      </c>
      <c r="G4" s="74">
        <f>G3*G10/1000000</f>
        <v>0</v>
      </c>
      <c r="H4" s="30">
        <f>H3*H10/1000000</f>
        <v>0</v>
      </c>
      <c r="I4" s="30">
        <f>I3*I10/1000000</f>
        <v>1.7894138125078802</v>
      </c>
      <c r="J4" s="30">
        <f>J3*J10/1000000</f>
        <v>0.67869366229267214</v>
      </c>
      <c r="K4" s="30">
        <f>K3*K10/1000000</f>
        <v>0</v>
      </c>
      <c r="M4" s="74"/>
      <c r="N4" s="83" t="s">
        <v>377</v>
      </c>
      <c r="O4" s="84">
        <f t="shared" ref="O4:O11" si="2">Q3</f>
        <v>38.065574220526166</v>
      </c>
      <c r="P4" s="84">
        <f t="shared" si="0"/>
        <v>3.6162295509499858</v>
      </c>
      <c r="Q4" s="85">
        <f t="shared" si="1"/>
        <v>34.682645114249745</v>
      </c>
      <c r="R4" s="74"/>
      <c r="S4" s="74"/>
      <c r="T4" s="74"/>
      <c r="U4" s="74"/>
      <c r="V4" s="74"/>
      <c r="W4" s="74"/>
      <c r="X4" s="74"/>
      <c r="Y4" s="74"/>
      <c r="Z4" s="74"/>
    </row>
    <row r="5" spans="2:33">
      <c r="B5" t="s">
        <v>370</v>
      </c>
      <c r="C5" s="74">
        <v>9.5</v>
      </c>
      <c r="D5" s="74" t="s">
        <v>371</v>
      </c>
      <c r="E5" s="74">
        <v>15</v>
      </c>
      <c r="F5" s="74" t="s">
        <v>394</v>
      </c>
      <c r="G5" s="74">
        <v>475.42</v>
      </c>
      <c r="H5" s="30">
        <v>495.5</v>
      </c>
      <c r="I5" s="30">
        <v>474.7</v>
      </c>
      <c r="J5" s="30">
        <v>495.5</v>
      </c>
      <c r="K5" s="30">
        <v>475.42</v>
      </c>
      <c r="M5" s="74"/>
      <c r="N5" s="83" t="s">
        <v>378</v>
      </c>
      <c r="O5" s="84">
        <f t="shared" si="2"/>
        <v>34.682645114249745</v>
      </c>
      <c r="P5" s="84">
        <f t="shared" si="0"/>
        <v>3.294851285853726</v>
      </c>
      <c r="Q5" s="85">
        <f t="shared" si="1"/>
        <v>30.978337742877059</v>
      </c>
      <c r="R5" s="74"/>
      <c r="S5" s="74"/>
      <c r="T5" s="74"/>
      <c r="U5" s="74"/>
      <c r="V5" s="74"/>
      <c r="W5" s="74"/>
      <c r="X5" s="74"/>
      <c r="Y5" s="74"/>
      <c r="Z5" s="74"/>
    </row>
    <row r="6" spans="2:33">
      <c r="B6" t="s">
        <v>372</v>
      </c>
      <c r="C6" s="74">
        <v>10</v>
      </c>
      <c r="D6" s="74" t="s">
        <v>373</v>
      </c>
      <c r="E6" s="74">
        <v>30</v>
      </c>
      <c r="F6" s="74" t="s">
        <v>420</v>
      </c>
      <c r="G6" s="74">
        <v>1064</v>
      </c>
      <c r="H6" s="30">
        <v>588</v>
      </c>
      <c r="I6" s="30">
        <v>285</v>
      </c>
      <c r="J6" s="30">
        <v>856</v>
      </c>
      <c r="K6" s="30">
        <v>1064</v>
      </c>
      <c r="M6" s="74"/>
      <c r="N6" s="83" t="s">
        <v>379</v>
      </c>
      <c r="O6" s="84">
        <f t="shared" si="2"/>
        <v>30.978337742877059</v>
      </c>
      <c r="P6" s="84">
        <f t="shared" si="0"/>
        <v>2.9429420855733208</v>
      </c>
      <c r="Q6" s="85">
        <f t="shared" si="1"/>
        <v>26.922121171223971</v>
      </c>
      <c r="R6" s="74"/>
      <c r="S6" s="74"/>
      <c r="T6" s="74"/>
      <c r="U6" s="74"/>
      <c r="V6" s="74"/>
      <c r="W6" s="74"/>
      <c r="X6" s="74"/>
      <c r="Y6" s="74"/>
      <c r="Z6" s="74"/>
    </row>
    <row r="7" spans="2:33">
      <c r="B7" t="s">
        <v>386</v>
      </c>
      <c r="C7" s="74">
        <v>6.9991586572264097</v>
      </c>
      <c r="D7" s="74"/>
      <c r="E7" s="74"/>
      <c r="F7" s="74" t="s">
        <v>429</v>
      </c>
      <c r="G7" s="74">
        <v>79.61</v>
      </c>
      <c r="H7" s="30">
        <v>69.3</v>
      </c>
      <c r="I7" s="30">
        <v>75.37</v>
      </c>
      <c r="J7" s="30">
        <v>75.760000000000005</v>
      </c>
      <c r="K7" s="30">
        <v>79.61</v>
      </c>
      <c r="M7" s="74"/>
      <c r="N7" s="83" t="s">
        <v>380</v>
      </c>
      <c r="O7" s="84">
        <f t="shared" si="2"/>
        <v>26.922121171223971</v>
      </c>
      <c r="P7" s="84">
        <f t="shared" si="0"/>
        <v>2.5576015112662773</v>
      </c>
      <c r="Q7" s="85">
        <f t="shared" si="1"/>
        <v>22.480564025263838</v>
      </c>
      <c r="R7" s="74"/>
      <c r="S7" s="74"/>
      <c r="T7" s="74"/>
      <c r="U7" s="74"/>
      <c r="V7" s="74"/>
      <c r="W7" s="74"/>
      <c r="X7" s="74"/>
      <c r="Y7" s="74"/>
      <c r="Z7" s="74"/>
    </row>
    <row r="8" spans="2:33">
      <c r="B8" t="s">
        <v>396</v>
      </c>
      <c r="C8" s="74">
        <f>C2/7</f>
        <v>11.308218986658551</v>
      </c>
      <c r="D8" s="74"/>
      <c r="E8" s="74"/>
      <c r="F8" s="74" t="s">
        <v>279</v>
      </c>
      <c r="G8" s="74">
        <v>3.54</v>
      </c>
      <c r="H8" s="30">
        <v>1</v>
      </c>
      <c r="I8" s="30">
        <v>0.88</v>
      </c>
      <c r="J8" s="30">
        <v>9.0399999999999991</v>
      </c>
      <c r="K8" s="30">
        <v>3.54</v>
      </c>
      <c r="M8" s="74"/>
      <c r="N8" s="83" t="s">
        <v>381</v>
      </c>
      <c r="O8" s="84">
        <f t="shared" si="2"/>
        <v>22.480564025263838</v>
      </c>
      <c r="P8" s="84">
        <f t="shared" si="0"/>
        <v>2.1356535824000646</v>
      </c>
      <c r="Q8" s="85">
        <f t="shared" si="1"/>
        <v>17.617058950437492</v>
      </c>
      <c r="R8" s="74"/>
      <c r="S8" s="74"/>
      <c r="T8" s="74"/>
      <c r="U8" s="74"/>
      <c r="V8" s="74"/>
      <c r="W8" s="74"/>
      <c r="X8" s="74"/>
      <c r="Y8" s="74"/>
      <c r="Z8" s="74"/>
    </row>
    <row r="9" spans="2:33">
      <c r="B9" t="s">
        <v>397</v>
      </c>
      <c r="C9" s="74">
        <f>'NG utility'!I1/1000*'NG utility'!I18*CashflowChina!G5/1000000</f>
        <v>85.596959153134407</v>
      </c>
      <c r="D9" s="74" t="s">
        <v>398</v>
      </c>
      <c r="E9" s="74">
        <v>3</v>
      </c>
      <c r="F9" s="74" t="s">
        <v>435</v>
      </c>
      <c r="G9" s="74">
        <v>0.15</v>
      </c>
      <c r="H9" s="30">
        <v>1</v>
      </c>
      <c r="I9" s="30">
        <f>1/0.85</f>
        <v>1.1764705882352942</v>
      </c>
      <c r="J9" s="30">
        <f>1/19.2</f>
        <v>5.2083333333333336E-2</v>
      </c>
      <c r="K9" s="30">
        <f>1/6.61</f>
        <v>0.15128593040847199</v>
      </c>
      <c r="M9" s="74"/>
      <c r="N9" s="83" t="s">
        <v>382</v>
      </c>
      <c r="O9" s="84">
        <f t="shared" si="2"/>
        <v>17.617058950437492</v>
      </c>
      <c r="P9" s="84">
        <f t="shared" si="0"/>
        <v>1.6736206002915617</v>
      </c>
      <c r="Q9" s="85">
        <f t="shared" si="1"/>
        <v>12.291520893502643</v>
      </c>
      <c r="R9" s="74"/>
      <c r="S9" s="74"/>
      <c r="T9" s="74"/>
      <c r="U9" s="74"/>
      <c r="V9" s="74"/>
      <c r="W9" s="74"/>
      <c r="X9" s="74"/>
      <c r="Y9" s="74"/>
      <c r="Z9" s="74"/>
    </row>
    <row r="10" spans="2:33">
      <c r="B10" t="s">
        <v>395</v>
      </c>
      <c r="C10" s="74">
        <f>'Maintenance &amp; Operations cost'!I30/1000000*G8*G9+0.1155*CashflowChina!C9+G7*C14/1000/1000000</f>
        <v>46.986822079129759</v>
      </c>
      <c r="D10" s="74" t="s">
        <v>398</v>
      </c>
      <c r="E10" s="74">
        <v>4</v>
      </c>
      <c r="F10" s="74" t="s">
        <v>419</v>
      </c>
      <c r="G10" s="74">
        <f>-'NG utility'!I6/1000*'NG utility'!I18-G6/1000000*C14</f>
        <v>-30164.486782579625</v>
      </c>
      <c r="H10" s="30">
        <f t="shared" ref="H10:J10" si="3">H6/1000000*$C$14</f>
        <v>126001.47557088001</v>
      </c>
      <c r="I10" s="30">
        <f t="shared" si="3"/>
        <v>61072.1437716</v>
      </c>
      <c r="J10" s="30">
        <f t="shared" si="3"/>
        <v>183430.71953856002</v>
      </c>
      <c r="K10" s="30">
        <f>K6/1000000*$C$14</f>
        <v>228002.67008064003</v>
      </c>
      <c r="M10" s="74"/>
      <c r="N10" s="83" t="s">
        <v>383</v>
      </c>
      <c r="O10" s="84">
        <f t="shared" si="2"/>
        <v>12.291520893502643</v>
      </c>
      <c r="P10" s="84">
        <f t="shared" si="0"/>
        <v>1.1676944848827511</v>
      </c>
      <c r="Q10" s="85">
        <f t="shared" si="1"/>
        <v>6.4600567211589848</v>
      </c>
      <c r="R10" s="74"/>
      <c r="S10" s="74"/>
      <c r="T10" s="74"/>
      <c r="U10" s="74"/>
      <c r="V10" s="74"/>
      <c r="W10" s="74"/>
      <c r="X10" s="74"/>
      <c r="Y10" s="74"/>
      <c r="Z10" s="74"/>
    </row>
    <row r="11" spans="2:33">
      <c r="F11" s="74" t="s">
        <v>459</v>
      </c>
      <c r="G11" s="74">
        <f>(0-AF41)*1000000/(G10*E6)</f>
        <v>154.02690043548637</v>
      </c>
      <c r="H11" s="30"/>
      <c r="I11" s="30"/>
      <c r="J11" s="30"/>
      <c r="K11" s="30"/>
      <c r="M11" s="74"/>
      <c r="N11" s="83" t="s">
        <v>384</v>
      </c>
      <c r="O11" s="84">
        <f t="shared" si="2"/>
        <v>6.4600567211589848</v>
      </c>
      <c r="P11" s="84">
        <f t="shared" si="0"/>
        <v>0.61370538851010348</v>
      </c>
      <c r="Q11" s="85">
        <f t="shared" si="1"/>
        <v>7.4603452442678631E-2</v>
      </c>
      <c r="R11" s="74"/>
      <c r="S11" s="74"/>
      <c r="T11" s="74"/>
      <c r="U11" s="74"/>
      <c r="V11" s="74"/>
      <c r="W11" s="74"/>
      <c r="X11" s="74"/>
      <c r="Y11" s="74"/>
      <c r="Z11" s="74"/>
    </row>
    <row r="12" spans="2:33" ht="15.75" thickBot="1">
      <c r="F12" s="74"/>
      <c r="G12" s="74"/>
      <c r="H12" s="74"/>
      <c r="M12" s="74"/>
      <c r="N12" s="86"/>
      <c r="O12" s="87"/>
      <c r="P12" s="87"/>
      <c r="Q12" s="88"/>
      <c r="R12" s="74"/>
      <c r="S12" s="74"/>
      <c r="T12" s="74"/>
      <c r="U12" s="74"/>
      <c r="V12" s="74"/>
      <c r="W12" s="74"/>
      <c r="X12" s="74"/>
      <c r="Y12" s="74"/>
      <c r="Z12" s="74"/>
    </row>
    <row r="13" spans="2:33">
      <c r="F13" s="74"/>
      <c r="G13" s="74"/>
      <c r="H13" s="74"/>
      <c r="I13" s="1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33">
      <c r="B14" s="74" t="s">
        <v>421</v>
      </c>
      <c r="C14" s="74">
        <f>'NG utility'!O3</f>
        <v>214288223.76000002</v>
      </c>
      <c r="D14" s="74"/>
      <c r="E14" s="74"/>
      <c r="F14" s="74"/>
      <c r="G14" s="74"/>
      <c r="H14" s="74"/>
      <c r="I14" s="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2:33" ht="15.75" thickBot="1">
      <c r="B15" t="s">
        <v>434</v>
      </c>
      <c r="C15" s="74"/>
      <c r="D15" s="74"/>
      <c r="E15" s="74"/>
      <c r="F15" s="74"/>
      <c r="G15" s="74"/>
      <c r="H15" s="74"/>
      <c r="I15" s="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33">
      <c r="B16" s="25" t="s">
        <v>399</v>
      </c>
      <c r="C16" s="94">
        <v>2018</v>
      </c>
      <c r="D16" s="94" t="s">
        <v>376</v>
      </c>
      <c r="E16" s="94" t="s">
        <v>377</v>
      </c>
      <c r="F16" s="94" t="s">
        <v>378</v>
      </c>
      <c r="G16" s="94" t="s">
        <v>379</v>
      </c>
      <c r="H16" s="94" t="s">
        <v>380</v>
      </c>
      <c r="I16" s="94" t="s">
        <v>381</v>
      </c>
      <c r="J16" s="94" t="s">
        <v>382</v>
      </c>
      <c r="K16" s="94" t="s">
        <v>383</v>
      </c>
      <c r="L16" s="94" t="s">
        <v>384</v>
      </c>
      <c r="M16" s="94" t="s">
        <v>385</v>
      </c>
      <c r="N16" s="94" t="s">
        <v>387</v>
      </c>
      <c r="O16" s="94" t="s">
        <v>388</v>
      </c>
      <c r="P16" s="94" t="s">
        <v>389</v>
      </c>
      <c r="Q16" s="94" t="s">
        <v>390</v>
      </c>
      <c r="R16" s="94" t="s">
        <v>391</v>
      </c>
      <c r="S16" s="94" t="s">
        <v>392</v>
      </c>
      <c r="T16" s="94" t="s">
        <v>393</v>
      </c>
      <c r="U16" s="94" t="s">
        <v>400</v>
      </c>
      <c r="V16" s="94" t="s">
        <v>401</v>
      </c>
      <c r="W16" s="94" t="s">
        <v>402</v>
      </c>
      <c r="X16" s="94" t="s">
        <v>403</v>
      </c>
      <c r="Y16" s="94" t="s">
        <v>404</v>
      </c>
      <c r="Z16" s="94" t="s">
        <v>405</v>
      </c>
      <c r="AA16" s="94" t="s">
        <v>406</v>
      </c>
      <c r="AB16" s="94" t="s">
        <v>407</v>
      </c>
      <c r="AC16" s="94" t="s">
        <v>408</v>
      </c>
      <c r="AD16" s="94" t="s">
        <v>409</v>
      </c>
      <c r="AE16" s="94" t="s">
        <v>410</v>
      </c>
      <c r="AF16" s="95" t="s">
        <v>411</v>
      </c>
      <c r="AG16" s="1"/>
    </row>
    <row r="17" spans="2:33">
      <c r="B17" s="96" t="s">
        <v>412</v>
      </c>
      <c r="C17" s="84">
        <f>-C7</f>
        <v>-6.9991586572264097</v>
      </c>
      <c r="D17" s="84">
        <f>-$C$7</f>
        <v>-6.9991586572264097</v>
      </c>
      <c r="E17" s="84">
        <f t="shared" ref="E17:L17" si="4">-$C$7</f>
        <v>-6.9991586572264097</v>
      </c>
      <c r="F17" s="84">
        <f t="shared" si="4"/>
        <v>-6.9991586572264097</v>
      </c>
      <c r="G17" s="84">
        <f t="shared" si="4"/>
        <v>-6.9991586572264097</v>
      </c>
      <c r="H17" s="84">
        <f t="shared" si="4"/>
        <v>-6.9991586572264097</v>
      </c>
      <c r="I17" s="84">
        <f t="shared" si="4"/>
        <v>-6.9991586572264097</v>
      </c>
      <c r="J17" s="84">
        <f t="shared" si="4"/>
        <v>-6.9991586572264097</v>
      </c>
      <c r="K17" s="84">
        <f t="shared" si="4"/>
        <v>-6.9991586572264097</v>
      </c>
      <c r="L17" s="84">
        <f t="shared" si="4"/>
        <v>-6.9991586572264097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"/>
      <c r="AB17" s="2"/>
      <c r="AC17" s="2"/>
      <c r="AD17" s="2"/>
      <c r="AE17" s="2"/>
      <c r="AF17" s="28"/>
    </row>
    <row r="18" spans="2:33">
      <c r="B18" s="96" t="s">
        <v>414</v>
      </c>
      <c r="C18" s="84">
        <f>C9</f>
        <v>85.596959153134407</v>
      </c>
      <c r="D18" s="84">
        <f>$C$9*(1+$E$9/100)^(D16-$C$16)</f>
        <v>88.164867927728437</v>
      </c>
      <c r="E18" s="84">
        <f t="shared" ref="E18:AF18" si="5">$C$9*(1+$E$9/100)^(E16-$C$16)</f>
        <v>90.809813965560295</v>
      </c>
      <c r="F18" s="84">
        <f t="shared" si="5"/>
        <v>93.534108384527102</v>
      </c>
      <c r="G18" s="84">
        <f t="shared" si="5"/>
        <v>96.340131636062907</v>
      </c>
      <c r="H18" s="84">
        <f t="shared" si="5"/>
        <v>99.230335585144786</v>
      </c>
      <c r="I18" s="84">
        <f t="shared" si="5"/>
        <v>102.20724565269914</v>
      </c>
      <c r="J18" s="84">
        <f t="shared" si="5"/>
        <v>105.27346302228011</v>
      </c>
      <c r="K18" s="84">
        <f t="shared" si="5"/>
        <v>108.43166691294851</v>
      </c>
      <c r="L18" s="84">
        <f t="shared" si="5"/>
        <v>111.68461692033696</v>
      </c>
      <c r="M18" s="84">
        <f t="shared" si="5"/>
        <v>115.03515542794707</v>
      </c>
      <c r="N18" s="84">
        <f t="shared" si="5"/>
        <v>118.48621009078549</v>
      </c>
      <c r="O18" s="84">
        <f t="shared" si="5"/>
        <v>122.04079639350904</v>
      </c>
      <c r="P18" s="84">
        <f t="shared" si="5"/>
        <v>125.7020202853143</v>
      </c>
      <c r="Q18" s="84">
        <f t="shared" si="5"/>
        <v>129.47308089387374</v>
      </c>
      <c r="R18" s="84">
        <f t="shared" si="5"/>
        <v>133.35727332068996</v>
      </c>
      <c r="S18" s="84">
        <f t="shared" si="5"/>
        <v>137.35799152031063</v>
      </c>
      <c r="T18" s="84">
        <f t="shared" si="5"/>
        <v>141.47873126591998</v>
      </c>
      <c r="U18" s="84">
        <f t="shared" si="5"/>
        <v>145.72309320389758</v>
      </c>
      <c r="V18" s="84">
        <f t="shared" si="5"/>
        <v>150.09478600001449</v>
      </c>
      <c r="W18" s="84">
        <f t="shared" si="5"/>
        <v>154.59762958001491</v>
      </c>
      <c r="X18" s="84">
        <f t="shared" si="5"/>
        <v>159.23555846741533</v>
      </c>
      <c r="Y18" s="84">
        <f t="shared" si="5"/>
        <v>164.01262522143782</v>
      </c>
      <c r="Z18" s="84">
        <f t="shared" si="5"/>
        <v>168.93300397808096</v>
      </c>
      <c r="AA18" s="84">
        <f t="shared" si="5"/>
        <v>174.00099409742336</v>
      </c>
      <c r="AB18" s="84">
        <f t="shared" si="5"/>
        <v>179.22102392034606</v>
      </c>
      <c r="AC18" s="84">
        <f t="shared" si="5"/>
        <v>184.59765463795648</v>
      </c>
      <c r="AD18" s="84">
        <f t="shared" si="5"/>
        <v>190.13558427709515</v>
      </c>
      <c r="AE18" s="84">
        <f t="shared" si="5"/>
        <v>195.83965180540801</v>
      </c>
      <c r="AF18" s="85">
        <f t="shared" si="5"/>
        <v>201.71484135957022</v>
      </c>
      <c r="AG18" s="74"/>
    </row>
    <row r="19" spans="2:33">
      <c r="B19" s="96" t="s">
        <v>413</v>
      </c>
      <c r="C19" s="84">
        <f>-C10</f>
        <v>-46.986822079129759</v>
      </c>
      <c r="D19" s="84">
        <f>-$C$10*(1+$E$10/100)^(D16-$C$16)</f>
        <v>-48.866294962294951</v>
      </c>
      <c r="E19" s="84">
        <f t="shared" ref="E19:AF19" si="6">-$C$10*(1+$E$10/100)^(E16-$C$16)</f>
        <v>-50.820946760786754</v>
      </c>
      <c r="F19" s="84">
        <f t="shared" si="6"/>
        <v>-52.853784631218218</v>
      </c>
      <c r="G19" s="84">
        <f t="shared" si="6"/>
        <v>-54.967936016466957</v>
      </c>
      <c r="H19" s="84">
        <f t="shared" si="6"/>
        <v>-57.166653457125641</v>
      </c>
      <c r="I19" s="84">
        <f t="shared" si="6"/>
        <v>-59.453319595410669</v>
      </c>
      <c r="J19" s="84">
        <f t="shared" si="6"/>
        <v>-61.831452379227088</v>
      </c>
      <c r="K19" s="84">
        <f t="shared" si="6"/>
        <v>-64.304710474396174</v>
      </c>
      <c r="L19" s="84">
        <f t="shared" si="6"/>
        <v>-66.876898893372029</v>
      </c>
      <c r="M19" s="84">
        <f t="shared" si="6"/>
        <v>-69.551974849106912</v>
      </c>
      <c r="N19" s="84">
        <f t="shared" si="6"/>
        <v>-72.334053843071189</v>
      </c>
      <c r="O19" s="84">
        <f t="shared" si="6"/>
        <v>-75.227415996794051</v>
      </c>
      <c r="P19" s="84">
        <f t="shared" si="6"/>
        <v>-78.236512636665807</v>
      </c>
      <c r="Q19" s="84">
        <f t="shared" si="6"/>
        <v>-81.365973142132447</v>
      </c>
      <c r="R19" s="84">
        <f t="shared" si="6"/>
        <v>-84.620612067817746</v>
      </c>
      <c r="S19" s="84">
        <f t="shared" si="6"/>
        <v>-88.005436550530462</v>
      </c>
      <c r="T19" s="84">
        <f t="shared" si="6"/>
        <v>-91.525654012551684</v>
      </c>
      <c r="U19" s="84">
        <f t="shared" si="6"/>
        <v>-95.186680173053773</v>
      </c>
      <c r="V19" s="84">
        <f t="shared" si="6"/>
        <v>-98.994147379975914</v>
      </c>
      <c r="W19" s="84">
        <f t="shared" si="6"/>
        <v>-102.95391327517495</v>
      </c>
      <c r="X19" s="84">
        <f t="shared" si="6"/>
        <v>-107.07206980618197</v>
      </c>
      <c r="Y19" s="84">
        <f t="shared" si="6"/>
        <v>-111.35495259842925</v>
      </c>
      <c r="Z19" s="84">
        <f t="shared" si="6"/>
        <v>-115.80915070236641</v>
      </c>
      <c r="AA19" s="84">
        <f t="shared" si="6"/>
        <v>-120.44151673046107</v>
      </c>
      <c r="AB19" s="84">
        <f t="shared" si="6"/>
        <v>-125.25917739967954</v>
      </c>
      <c r="AC19" s="84">
        <f t="shared" si="6"/>
        <v>-130.26954449566671</v>
      </c>
      <c r="AD19" s="84">
        <f t="shared" si="6"/>
        <v>-135.48032627549338</v>
      </c>
      <c r="AE19" s="84">
        <f t="shared" si="6"/>
        <v>-140.89953932651315</v>
      </c>
      <c r="AF19" s="85">
        <f t="shared" si="6"/>
        <v>-146.53552089957367</v>
      </c>
    </row>
    <row r="20" spans="2:33">
      <c r="B20" s="97" t="s">
        <v>415</v>
      </c>
      <c r="C20" s="84">
        <f>SUM(C17:C19)</f>
        <v>31.610978416778231</v>
      </c>
      <c r="D20" s="84">
        <f t="shared" ref="D20:AF20" si="7">SUM(D17:D19)</f>
        <v>32.299414308207069</v>
      </c>
      <c r="E20" s="84">
        <f t="shared" si="7"/>
        <v>32.989708547547124</v>
      </c>
      <c r="F20" s="84">
        <f t="shared" si="7"/>
        <v>33.681165096082481</v>
      </c>
      <c r="G20" s="84">
        <f t="shared" si="7"/>
        <v>34.373036962369547</v>
      </c>
      <c r="H20" s="84">
        <f t="shared" si="7"/>
        <v>35.064523470792729</v>
      </c>
      <c r="I20" s="84">
        <f t="shared" si="7"/>
        <v>35.754767400062072</v>
      </c>
      <c r="J20" s="84">
        <f t="shared" si="7"/>
        <v>36.442851985826607</v>
      </c>
      <c r="K20" s="84">
        <f t="shared" si="7"/>
        <v>37.127797781325924</v>
      </c>
      <c r="L20" s="84">
        <f t="shared" si="7"/>
        <v>37.808559369738518</v>
      </c>
      <c r="M20" s="84">
        <f t="shared" si="7"/>
        <v>45.483180578840162</v>
      </c>
      <c r="N20" s="84">
        <f t="shared" si="7"/>
        <v>46.152156247714302</v>
      </c>
      <c r="O20" s="84">
        <f t="shared" si="7"/>
        <v>46.81338039671499</v>
      </c>
      <c r="P20" s="84">
        <f t="shared" si="7"/>
        <v>47.465507648648497</v>
      </c>
      <c r="Q20" s="84">
        <f t="shared" si="7"/>
        <v>48.107107751741296</v>
      </c>
      <c r="R20" s="84">
        <f t="shared" si="7"/>
        <v>48.73666125287221</v>
      </c>
      <c r="S20" s="84">
        <f t="shared" si="7"/>
        <v>49.352554969780172</v>
      </c>
      <c r="T20" s="84">
        <f t="shared" si="7"/>
        <v>49.953077253368292</v>
      </c>
      <c r="U20" s="84">
        <f t="shared" si="7"/>
        <v>50.536413030843804</v>
      </c>
      <c r="V20" s="84">
        <f t="shared" si="7"/>
        <v>51.10063862003858</v>
      </c>
      <c r="W20" s="84">
        <f t="shared" si="7"/>
        <v>51.643716304839955</v>
      </c>
      <c r="X20" s="84">
        <f t="shared" si="7"/>
        <v>52.163488661233359</v>
      </c>
      <c r="Y20" s="84">
        <f t="shared" si="7"/>
        <v>52.657672623008565</v>
      </c>
      <c r="Z20" s="84">
        <f t="shared" si="7"/>
        <v>53.123853275714552</v>
      </c>
      <c r="AA20" s="84">
        <f t="shared" si="7"/>
        <v>53.559477366962284</v>
      </c>
      <c r="AB20" s="84">
        <f t="shared" si="7"/>
        <v>53.961846520666512</v>
      </c>
      <c r="AC20" s="84">
        <f t="shared" si="7"/>
        <v>54.328110142289773</v>
      </c>
      <c r="AD20" s="84">
        <f t="shared" si="7"/>
        <v>54.655258001601766</v>
      </c>
      <c r="AE20" s="84">
        <f t="shared" si="7"/>
        <v>54.940112478894861</v>
      </c>
      <c r="AF20" s="85">
        <f t="shared" si="7"/>
        <v>55.179320459996546</v>
      </c>
    </row>
    <row r="21" spans="2:33">
      <c r="B21" s="96" t="s">
        <v>423</v>
      </c>
      <c r="C21" s="84">
        <f>-$C$8</f>
        <v>-11.308218986658551</v>
      </c>
      <c r="D21" s="84">
        <f t="shared" ref="D21:I21" si="8">-$C$8</f>
        <v>-11.308218986658551</v>
      </c>
      <c r="E21" s="84">
        <f t="shared" si="8"/>
        <v>-11.308218986658551</v>
      </c>
      <c r="F21" s="84">
        <f t="shared" si="8"/>
        <v>-11.308218986658551</v>
      </c>
      <c r="G21" s="84">
        <f t="shared" si="8"/>
        <v>-11.308218986658551</v>
      </c>
      <c r="H21" s="84">
        <f t="shared" si="8"/>
        <v>-11.308218986658551</v>
      </c>
      <c r="I21" s="84">
        <f t="shared" si="8"/>
        <v>-11.308218986658551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"/>
      <c r="AB21" s="2"/>
      <c r="AC21" s="2"/>
      <c r="AD21" s="2"/>
      <c r="AE21" s="2"/>
      <c r="AF21" s="28"/>
    </row>
    <row r="22" spans="2:33">
      <c r="B22" s="98" t="s">
        <v>424</v>
      </c>
      <c r="C22" s="99">
        <f>E3</f>
        <v>43.97640717033881</v>
      </c>
      <c r="D22" s="99">
        <f>C22-C23-$C$7</f>
        <v>41.155007194294591</v>
      </c>
      <c r="E22" s="99">
        <f>D22-D23-$C$7</f>
        <v>38.065574220526166</v>
      </c>
      <c r="F22" s="99">
        <f t="shared" ref="F22:L22" si="9">E22-E23-$C$7</f>
        <v>34.682645114249745</v>
      </c>
      <c r="G22" s="99">
        <f t="shared" si="9"/>
        <v>30.978337742877059</v>
      </c>
      <c r="H22" s="99">
        <f>G22-G23-$C$7</f>
        <v>26.922121171223971</v>
      </c>
      <c r="I22" s="99">
        <f t="shared" si="9"/>
        <v>22.480564025263838</v>
      </c>
      <c r="J22" s="99">
        <f t="shared" si="9"/>
        <v>17.617058950437492</v>
      </c>
      <c r="K22" s="99">
        <f t="shared" si="9"/>
        <v>12.291520893502643</v>
      </c>
      <c r="L22" s="99">
        <f t="shared" si="9"/>
        <v>6.4600567211589848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"/>
      <c r="AB22" s="2"/>
      <c r="AC22" s="2"/>
      <c r="AD22" s="2"/>
      <c r="AE22" s="2"/>
      <c r="AF22" s="28"/>
    </row>
    <row r="23" spans="2:33">
      <c r="B23" s="96" t="s">
        <v>425</v>
      </c>
      <c r="C23" s="84">
        <f>-C22*$C$5/100</f>
        <v>-4.177758681182187</v>
      </c>
      <c r="D23" s="84">
        <f t="shared" ref="D23:L23" si="10">-D22*$C$5/100</f>
        <v>-3.9097256834579861</v>
      </c>
      <c r="E23" s="84">
        <f t="shared" si="10"/>
        <v>-3.6162295509499858</v>
      </c>
      <c r="F23" s="84">
        <f t="shared" si="10"/>
        <v>-3.294851285853726</v>
      </c>
      <c r="G23" s="84">
        <f t="shared" si="10"/>
        <v>-2.9429420855733208</v>
      </c>
      <c r="H23" s="84">
        <f t="shared" si="10"/>
        <v>-2.5576015112662773</v>
      </c>
      <c r="I23" s="84">
        <f t="shared" si="10"/>
        <v>-2.1356535824000646</v>
      </c>
      <c r="J23" s="84">
        <f t="shared" si="10"/>
        <v>-1.6736206002915617</v>
      </c>
      <c r="K23" s="84">
        <f t="shared" si="10"/>
        <v>-1.1676944848827511</v>
      </c>
      <c r="L23" s="84">
        <f t="shared" si="10"/>
        <v>-0.61370538851010348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2"/>
      <c r="AB23" s="2"/>
      <c r="AC23" s="2"/>
      <c r="AD23" s="2"/>
      <c r="AE23" s="2"/>
      <c r="AF23" s="28"/>
    </row>
    <row r="24" spans="2:33">
      <c r="B24" s="128" t="s">
        <v>426</v>
      </c>
      <c r="C24" s="122">
        <f t="shared" ref="C24:AF24" si="11">C18+C19+C21+C23</f>
        <v>23.124159406163908</v>
      </c>
      <c r="D24" s="122">
        <f t="shared" si="11"/>
        <v>24.080628295316949</v>
      </c>
      <c r="E24" s="122">
        <f t="shared" si="11"/>
        <v>25.064418667165004</v>
      </c>
      <c r="F24" s="122">
        <f t="shared" si="11"/>
        <v>26.077253480796607</v>
      </c>
      <c r="G24" s="122">
        <f t="shared" si="11"/>
        <v>27.121034547364076</v>
      </c>
      <c r="H24" s="122">
        <f t="shared" si="11"/>
        <v>28.197861630094316</v>
      </c>
      <c r="I24" s="122">
        <f t="shared" si="11"/>
        <v>29.310053488229858</v>
      </c>
      <c r="J24" s="122">
        <f t="shared" si="11"/>
        <v>41.76839004276146</v>
      </c>
      <c r="K24" s="122">
        <f t="shared" si="11"/>
        <v>42.959261953669589</v>
      </c>
      <c r="L24" s="122">
        <f t="shared" si="11"/>
        <v>44.194012638454829</v>
      </c>
      <c r="M24" s="122">
        <f t="shared" si="11"/>
        <v>45.483180578840162</v>
      </c>
      <c r="N24" s="122">
        <f t="shared" si="11"/>
        <v>46.152156247714302</v>
      </c>
      <c r="O24" s="122">
        <f t="shared" si="11"/>
        <v>46.81338039671499</v>
      </c>
      <c r="P24" s="122">
        <f t="shared" si="11"/>
        <v>47.465507648648497</v>
      </c>
      <c r="Q24" s="122">
        <f t="shared" si="11"/>
        <v>48.107107751741296</v>
      </c>
      <c r="R24" s="122">
        <f t="shared" si="11"/>
        <v>48.73666125287221</v>
      </c>
      <c r="S24" s="122">
        <f t="shared" si="11"/>
        <v>49.352554969780172</v>
      </c>
      <c r="T24" s="122">
        <f t="shared" si="11"/>
        <v>49.953077253368292</v>
      </c>
      <c r="U24" s="122">
        <f t="shared" si="11"/>
        <v>50.536413030843804</v>
      </c>
      <c r="V24" s="122">
        <f t="shared" si="11"/>
        <v>51.10063862003858</v>
      </c>
      <c r="W24" s="122">
        <f t="shared" si="11"/>
        <v>51.643716304839955</v>
      </c>
      <c r="X24" s="122">
        <f t="shared" si="11"/>
        <v>52.163488661233359</v>
      </c>
      <c r="Y24" s="122">
        <f t="shared" si="11"/>
        <v>52.657672623008565</v>
      </c>
      <c r="Z24" s="122">
        <f t="shared" si="11"/>
        <v>53.123853275714552</v>
      </c>
      <c r="AA24" s="122">
        <f t="shared" si="11"/>
        <v>53.559477366962284</v>
      </c>
      <c r="AB24" s="122">
        <f t="shared" si="11"/>
        <v>53.961846520666512</v>
      </c>
      <c r="AC24" s="122">
        <f t="shared" si="11"/>
        <v>54.328110142289773</v>
      </c>
      <c r="AD24" s="122">
        <f t="shared" si="11"/>
        <v>54.655258001601766</v>
      </c>
      <c r="AE24" s="122">
        <f t="shared" si="11"/>
        <v>54.940112478894861</v>
      </c>
      <c r="AF24" s="129">
        <f t="shared" si="11"/>
        <v>55.179320459996546</v>
      </c>
    </row>
    <row r="25" spans="2:33">
      <c r="B25" s="100" t="s">
        <v>453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2:33">
      <c r="B26" s="124" t="s">
        <v>454</v>
      </c>
      <c r="C26" s="84">
        <v>0</v>
      </c>
      <c r="D26" s="84">
        <f>C30</f>
        <v>0</v>
      </c>
      <c r="E26" s="84">
        <f t="shared" ref="E26:AF26" si="12">D30</f>
        <v>0</v>
      </c>
      <c r="F26" s="84">
        <f t="shared" si="12"/>
        <v>0</v>
      </c>
      <c r="G26" s="84">
        <f t="shared" si="12"/>
        <v>0</v>
      </c>
      <c r="H26" s="84">
        <f t="shared" si="12"/>
        <v>0</v>
      </c>
      <c r="I26" s="84">
        <f t="shared" si="12"/>
        <v>0</v>
      </c>
      <c r="J26" s="84">
        <f t="shared" si="12"/>
        <v>0</v>
      </c>
      <c r="K26" s="84">
        <f t="shared" si="12"/>
        <v>0</v>
      </c>
      <c r="L26" s="84">
        <f t="shared" si="12"/>
        <v>0</v>
      </c>
      <c r="M26" s="84">
        <f t="shared" si="12"/>
        <v>0</v>
      </c>
      <c r="N26" s="84">
        <f t="shared" si="12"/>
        <v>0</v>
      </c>
      <c r="O26" s="84">
        <f t="shared" si="12"/>
        <v>0</v>
      </c>
      <c r="P26" s="84">
        <f t="shared" si="12"/>
        <v>0</v>
      </c>
      <c r="Q26" s="84">
        <f t="shared" si="12"/>
        <v>0</v>
      </c>
      <c r="R26" s="84">
        <f t="shared" si="12"/>
        <v>0</v>
      </c>
      <c r="S26" s="84">
        <f t="shared" si="12"/>
        <v>0</v>
      </c>
      <c r="T26" s="84">
        <f t="shared" si="12"/>
        <v>0</v>
      </c>
      <c r="U26" s="84">
        <f t="shared" si="12"/>
        <v>0</v>
      </c>
      <c r="V26" s="84">
        <f t="shared" si="12"/>
        <v>0</v>
      </c>
      <c r="W26" s="84">
        <f t="shared" si="12"/>
        <v>0</v>
      </c>
      <c r="X26" s="84">
        <f t="shared" si="12"/>
        <v>0</v>
      </c>
      <c r="Y26" s="84">
        <f t="shared" si="12"/>
        <v>0</v>
      </c>
      <c r="Z26" s="84">
        <f t="shared" si="12"/>
        <v>0</v>
      </c>
      <c r="AA26" s="84">
        <f t="shared" si="12"/>
        <v>0</v>
      </c>
      <c r="AB26" s="84">
        <f t="shared" si="12"/>
        <v>0</v>
      </c>
      <c r="AC26" s="84">
        <f t="shared" si="12"/>
        <v>0</v>
      </c>
      <c r="AD26" s="84">
        <f t="shared" si="12"/>
        <v>0</v>
      </c>
      <c r="AE26" s="84">
        <f t="shared" si="12"/>
        <v>0</v>
      </c>
      <c r="AF26" s="85">
        <f t="shared" si="12"/>
        <v>0</v>
      </c>
    </row>
    <row r="27" spans="2:33">
      <c r="B27" s="125" t="s">
        <v>455</v>
      </c>
      <c r="C27" s="122">
        <f>IF(C24&lt;0,C24,IF(C24&gt;0,0))</f>
        <v>0</v>
      </c>
      <c r="D27" s="122">
        <f t="shared" ref="D27:AF27" si="13">IF(D24&lt;0,D24,IF(D24&gt;0,0))</f>
        <v>0</v>
      </c>
      <c r="E27" s="122">
        <f t="shared" si="13"/>
        <v>0</v>
      </c>
      <c r="F27" s="122">
        <f t="shared" si="13"/>
        <v>0</v>
      </c>
      <c r="G27" s="122">
        <f t="shared" si="13"/>
        <v>0</v>
      </c>
      <c r="H27" s="122">
        <f t="shared" si="13"/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22">
        <f t="shared" si="13"/>
        <v>0</v>
      </c>
      <c r="V27" s="122">
        <f t="shared" si="13"/>
        <v>0</v>
      </c>
      <c r="W27" s="122">
        <f t="shared" si="13"/>
        <v>0</v>
      </c>
      <c r="X27" s="122">
        <f t="shared" si="13"/>
        <v>0</v>
      </c>
      <c r="Y27" s="122">
        <f t="shared" si="13"/>
        <v>0</v>
      </c>
      <c r="Z27" s="122">
        <f t="shared" si="13"/>
        <v>0</v>
      </c>
      <c r="AA27" s="122">
        <f t="shared" si="13"/>
        <v>0</v>
      </c>
      <c r="AB27" s="122">
        <f t="shared" si="13"/>
        <v>0</v>
      </c>
      <c r="AC27" s="122">
        <f t="shared" si="13"/>
        <v>0</v>
      </c>
      <c r="AD27" s="122">
        <f t="shared" si="13"/>
        <v>0</v>
      </c>
      <c r="AE27" s="122">
        <f t="shared" si="13"/>
        <v>0</v>
      </c>
      <c r="AF27" s="129">
        <f t="shared" si="13"/>
        <v>0</v>
      </c>
    </row>
    <row r="28" spans="2:33">
      <c r="B28" s="124" t="s">
        <v>456</v>
      </c>
      <c r="C28" s="84">
        <f>C26+C27</f>
        <v>0</v>
      </c>
      <c r="D28" s="84">
        <f t="shared" ref="D28:AF28" si="14">D26+D27</f>
        <v>0</v>
      </c>
      <c r="E28" s="84">
        <f t="shared" si="14"/>
        <v>0</v>
      </c>
      <c r="F28" s="84">
        <f t="shared" si="14"/>
        <v>0</v>
      </c>
      <c r="G28" s="84">
        <f t="shared" si="14"/>
        <v>0</v>
      </c>
      <c r="H28" s="84">
        <f t="shared" si="14"/>
        <v>0</v>
      </c>
      <c r="I28" s="84">
        <f t="shared" si="14"/>
        <v>0</v>
      </c>
      <c r="J28" s="84">
        <f t="shared" si="14"/>
        <v>0</v>
      </c>
      <c r="K28" s="84">
        <f t="shared" si="14"/>
        <v>0</v>
      </c>
      <c r="L28" s="84">
        <f t="shared" si="14"/>
        <v>0</v>
      </c>
      <c r="M28" s="84">
        <f t="shared" si="14"/>
        <v>0</v>
      </c>
      <c r="N28" s="84">
        <f t="shared" si="14"/>
        <v>0</v>
      </c>
      <c r="O28" s="84">
        <f t="shared" si="14"/>
        <v>0</v>
      </c>
      <c r="P28" s="84">
        <f t="shared" si="14"/>
        <v>0</v>
      </c>
      <c r="Q28" s="84">
        <f t="shared" si="14"/>
        <v>0</v>
      </c>
      <c r="R28" s="84">
        <f t="shared" si="14"/>
        <v>0</v>
      </c>
      <c r="S28" s="84">
        <f t="shared" si="14"/>
        <v>0</v>
      </c>
      <c r="T28" s="84">
        <f t="shared" si="14"/>
        <v>0</v>
      </c>
      <c r="U28" s="84">
        <f t="shared" si="14"/>
        <v>0</v>
      </c>
      <c r="V28" s="84">
        <f t="shared" si="14"/>
        <v>0</v>
      </c>
      <c r="W28" s="84">
        <f t="shared" si="14"/>
        <v>0</v>
      </c>
      <c r="X28" s="84">
        <f t="shared" si="14"/>
        <v>0</v>
      </c>
      <c r="Y28" s="84">
        <f t="shared" si="14"/>
        <v>0</v>
      </c>
      <c r="Z28" s="84">
        <f t="shared" si="14"/>
        <v>0</v>
      </c>
      <c r="AA28" s="84">
        <f t="shared" si="14"/>
        <v>0</v>
      </c>
      <c r="AB28" s="84">
        <f t="shared" si="14"/>
        <v>0</v>
      </c>
      <c r="AC28" s="84">
        <f t="shared" si="14"/>
        <v>0</v>
      </c>
      <c r="AD28" s="84">
        <f t="shared" si="14"/>
        <v>0</v>
      </c>
      <c r="AE28" s="84">
        <f t="shared" si="14"/>
        <v>0</v>
      </c>
      <c r="AF28" s="85">
        <f t="shared" si="14"/>
        <v>0</v>
      </c>
    </row>
    <row r="29" spans="2:33">
      <c r="B29" s="125" t="s">
        <v>457</v>
      </c>
      <c r="C29" s="122">
        <f>IF(C24&lt;0,0,IF(C24+C28&lt;0,C24,IF(C24+C28&gt;0,-C28)))</f>
        <v>0</v>
      </c>
      <c r="D29" s="122">
        <f t="shared" ref="D29:AF29" si="15">IF(D24&lt;0,0,IF(D24+D28&lt;0,D24,IF(D24+D28&gt;0,-D28)))</f>
        <v>0</v>
      </c>
      <c r="E29" s="122">
        <f t="shared" si="15"/>
        <v>0</v>
      </c>
      <c r="F29" s="122">
        <f t="shared" si="15"/>
        <v>0</v>
      </c>
      <c r="G29" s="122">
        <f t="shared" si="15"/>
        <v>0</v>
      </c>
      <c r="H29" s="122">
        <f t="shared" si="15"/>
        <v>0</v>
      </c>
      <c r="I29" s="122">
        <f t="shared" si="15"/>
        <v>0</v>
      </c>
      <c r="J29" s="122">
        <f t="shared" si="15"/>
        <v>0</v>
      </c>
      <c r="K29" s="122">
        <f t="shared" si="15"/>
        <v>0</v>
      </c>
      <c r="L29" s="122">
        <f t="shared" si="15"/>
        <v>0</v>
      </c>
      <c r="M29" s="122">
        <f t="shared" si="15"/>
        <v>0</v>
      </c>
      <c r="N29" s="122">
        <f t="shared" si="15"/>
        <v>0</v>
      </c>
      <c r="O29" s="122">
        <f t="shared" si="15"/>
        <v>0</v>
      </c>
      <c r="P29" s="122">
        <f t="shared" si="15"/>
        <v>0</v>
      </c>
      <c r="Q29" s="122">
        <f t="shared" si="15"/>
        <v>0</v>
      </c>
      <c r="R29" s="122">
        <f t="shared" si="15"/>
        <v>0</v>
      </c>
      <c r="S29" s="122">
        <f t="shared" si="15"/>
        <v>0</v>
      </c>
      <c r="T29" s="122">
        <f t="shared" si="15"/>
        <v>0</v>
      </c>
      <c r="U29" s="122">
        <f t="shared" si="15"/>
        <v>0</v>
      </c>
      <c r="V29" s="122">
        <f t="shared" si="15"/>
        <v>0</v>
      </c>
      <c r="W29" s="122">
        <f t="shared" si="15"/>
        <v>0</v>
      </c>
      <c r="X29" s="122">
        <f t="shared" si="15"/>
        <v>0</v>
      </c>
      <c r="Y29" s="122">
        <f t="shared" si="15"/>
        <v>0</v>
      </c>
      <c r="Z29" s="122">
        <f t="shared" si="15"/>
        <v>0</v>
      </c>
      <c r="AA29" s="122">
        <f t="shared" si="15"/>
        <v>0</v>
      </c>
      <c r="AB29" s="122">
        <f t="shared" si="15"/>
        <v>0</v>
      </c>
      <c r="AC29" s="122">
        <f t="shared" si="15"/>
        <v>0</v>
      </c>
      <c r="AD29" s="122">
        <f t="shared" si="15"/>
        <v>0</v>
      </c>
      <c r="AE29" s="122">
        <f t="shared" si="15"/>
        <v>0</v>
      </c>
      <c r="AF29" s="129">
        <f t="shared" si="15"/>
        <v>0</v>
      </c>
    </row>
    <row r="30" spans="2:33">
      <c r="B30" s="126" t="s">
        <v>458</v>
      </c>
      <c r="C30" s="127">
        <f>C28+C29</f>
        <v>0</v>
      </c>
      <c r="D30" s="127">
        <f t="shared" ref="D30:AF30" si="16">D28+D29</f>
        <v>0</v>
      </c>
      <c r="E30" s="127">
        <f t="shared" si="16"/>
        <v>0</v>
      </c>
      <c r="F30" s="127">
        <f t="shared" si="16"/>
        <v>0</v>
      </c>
      <c r="G30" s="127">
        <f t="shared" si="16"/>
        <v>0</v>
      </c>
      <c r="H30" s="127">
        <f t="shared" si="16"/>
        <v>0</v>
      </c>
      <c r="I30" s="127">
        <f t="shared" si="16"/>
        <v>0</v>
      </c>
      <c r="J30" s="127">
        <f t="shared" si="16"/>
        <v>0</v>
      </c>
      <c r="K30" s="127">
        <f t="shared" si="16"/>
        <v>0</v>
      </c>
      <c r="L30" s="127">
        <f t="shared" si="16"/>
        <v>0</v>
      </c>
      <c r="M30" s="127">
        <f t="shared" si="16"/>
        <v>0</v>
      </c>
      <c r="N30" s="127">
        <f t="shared" si="16"/>
        <v>0</v>
      </c>
      <c r="O30" s="127">
        <f t="shared" si="16"/>
        <v>0</v>
      </c>
      <c r="P30" s="127">
        <f t="shared" si="16"/>
        <v>0</v>
      </c>
      <c r="Q30" s="127">
        <f t="shared" si="16"/>
        <v>0</v>
      </c>
      <c r="R30" s="127">
        <f t="shared" si="16"/>
        <v>0</v>
      </c>
      <c r="S30" s="127">
        <f t="shared" si="16"/>
        <v>0</v>
      </c>
      <c r="T30" s="127">
        <f t="shared" si="16"/>
        <v>0</v>
      </c>
      <c r="U30" s="127">
        <f t="shared" si="16"/>
        <v>0</v>
      </c>
      <c r="V30" s="127">
        <f t="shared" si="16"/>
        <v>0</v>
      </c>
      <c r="W30" s="127">
        <f t="shared" si="16"/>
        <v>0</v>
      </c>
      <c r="X30" s="127">
        <f t="shared" si="16"/>
        <v>0</v>
      </c>
      <c r="Y30" s="127">
        <f t="shared" si="16"/>
        <v>0</v>
      </c>
      <c r="Z30" s="127">
        <f t="shared" si="16"/>
        <v>0</v>
      </c>
      <c r="AA30" s="127">
        <f t="shared" si="16"/>
        <v>0</v>
      </c>
      <c r="AB30" s="127">
        <f t="shared" si="16"/>
        <v>0</v>
      </c>
      <c r="AC30" s="127">
        <f t="shared" si="16"/>
        <v>0</v>
      </c>
      <c r="AD30" s="127">
        <f t="shared" si="16"/>
        <v>0</v>
      </c>
      <c r="AE30" s="127">
        <f t="shared" si="16"/>
        <v>0</v>
      </c>
      <c r="AF30" s="130">
        <f t="shared" si="16"/>
        <v>0</v>
      </c>
    </row>
    <row r="31" spans="2:33">
      <c r="B31" s="96" t="s">
        <v>427</v>
      </c>
      <c r="C31" s="84">
        <f>IF(C24&lt;0,0,IF(C24&gt;0,-(C24-C29)*$G$2/100))</f>
        <v>-9.1340429654347446</v>
      </c>
      <c r="D31" s="84">
        <f t="shared" ref="D31:AF31" si="17">IF(D24&lt;0,0,IF(D24&gt;0,-(D24-D29)*$G$2/100))</f>
        <v>-9.5118481766501954</v>
      </c>
      <c r="E31" s="84">
        <f t="shared" si="17"/>
        <v>-9.900445373530177</v>
      </c>
      <c r="F31" s="84">
        <f t="shared" si="17"/>
        <v>-10.300515124914659</v>
      </c>
      <c r="G31" s="84">
        <f t="shared" si="17"/>
        <v>-10.71280864620881</v>
      </c>
      <c r="H31" s="84">
        <f t="shared" si="17"/>
        <v>-11.138155343887254</v>
      </c>
      <c r="I31" s="84">
        <f t="shared" si="17"/>
        <v>-11.577471127850794</v>
      </c>
      <c r="J31" s="84">
        <f t="shared" si="17"/>
        <v>-16.498514066890777</v>
      </c>
      <c r="K31" s="84">
        <f t="shared" si="17"/>
        <v>-16.968908471699489</v>
      </c>
      <c r="L31" s="84">
        <f t="shared" si="17"/>
        <v>-17.45663499218966</v>
      </c>
      <c r="M31" s="84">
        <f t="shared" si="17"/>
        <v>-17.965856328641863</v>
      </c>
      <c r="N31" s="84">
        <f t="shared" si="17"/>
        <v>-18.230101717847148</v>
      </c>
      <c r="O31" s="84">
        <f t="shared" si="17"/>
        <v>-18.491285256702422</v>
      </c>
      <c r="P31" s="84">
        <f t="shared" si="17"/>
        <v>-18.748875521216156</v>
      </c>
      <c r="Q31" s="84">
        <f t="shared" si="17"/>
        <v>-19.002307561937812</v>
      </c>
      <c r="R31" s="84">
        <f t="shared" si="17"/>
        <v>-19.250981194884524</v>
      </c>
      <c r="S31" s="84">
        <f t="shared" si="17"/>
        <v>-19.494259213063167</v>
      </c>
      <c r="T31" s="84">
        <f t="shared" si="17"/>
        <v>-19.731465515080476</v>
      </c>
      <c r="U31" s="84">
        <f t="shared" si="17"/>
        <v>-19.961883147183304</v>
      </c>
      <c r="V31" s="84">
        <f t="shared" si="17"/>
        <v>-20.184752254915239</v>
      </c>
      <c r="W31" s="84">
        <f t="shared" si="17"/>
        <v>-20.399267940411782</v>
      </c>
      <c r="X31" s="84">
        <f t="shared" si="17"/>
        <v>-20.604578021187177</v>
      </c>
      <c r="Y31" s="84">
        <f t="shared" si="17"/>
        <v>-20.799780686088383</v>
      </c>
      <c r="Z31" s="84">
        <f t="shared" si="17"/>
        <v>-20.983922043907246</v>
      </c>
      <c r="AA31" s="84">
        <f t="shared" si="17"/>
        <v>-21.155993559950101</v>
      </c>
      <c r="AB31" s="84">
        <f t="shared" si="17"/>
        <v>-21.314929375663272</v>
      </c>
      <c r="AC31" s="84">
        <f t="shared" si="17"/>
        <v>-21.459603506204463</v>
      </c>
      <c r="AD31" s="84">
        <f t="shared" si="17"/>
        <v>-21.588826910632697</v>
      </c>
      <c r="AE31" s="84">
        <f t="shared" si="17"/>
        <v>-21.70134442916347</v>
      </c>
      <c r="AF31" s="85">
        <f t="shared" si="17"/>
        <v>-21.795831581698636</v>
      </c>
      <c r="AG31" s="101"/>
    </row>
    <row r="32" spans="2:33">
      <c r="B32" s="27" t="s">
        <v>428</v>
      </c>
      <c r="C32" s="84">
        <f t="shared" ref="C32:AF32" si="18">C20+C31</f>
        <v>22.476935451343486</v>
      </c>
      <c r="D32" s="84">
        <f t="shared" si="18"/>
        <v>22.787566131556872</v>
      </c>
      <c r="E32" s="84">
        <f t="shared" si="18"/>
        <v>23.089263174016949</v>
      </c>
      <c r="F32" s="84">
        <f t="shared" si="18"/>
        <v>23.38064997116782</v>
      </c>
      <c r="G32" s="84">
        <f t="shared" si="18"/>
        <v>23.660228316160737</v>
      </c>
      <c r="H32" s="84">
        <f t="shared" si="18"/>
        <v>23.926368126905473</v>
      </c>
      <c r="I32" s="84">
        <f t="shared" si="18"/>
        <v>24.177296272211279</v>
      </c>
      <c r="J32" s="84">
        <f t="shared" si="18"/>
        <v>19.94433791893583</v>
      </c>
      <c r="K32" s="84">
        <f t="shared" si="18"/>
        <v>20.158889309626435</v>
      </c>
      <c r="L32" s="84">
        <f t="shared" si="18"/>
        <v>20.351924377548858</v>
      </c>
      <c r="M32" s="84">
        <f t="shared" si="18"/>
        <v>27.5173242501983</v>
      </c>
      <c r="N32" s="84">
        <f t="shared" si="18"/>
        <v>27.922054529867154</v>
      </c>
      <c r="O32" s="84">
        <f t="shared" si="18"/>
        <v>28.322095140012568</v>
      </c>
      <c r="P32" s="84">
        <f t="shared" si="18"/>
        <v>28.716632127432341</v>
      </c>
      <c r="Q32" s="84">
        <f t="shared" si="18"/>
        <v>29.104800189803484</v>
      </c>
      <c r="R32" s="84">
        <f t="shared" si="18"/>
        <v>29.485680057987686</v>
      </c>
      <c r="S32" s="84">
        <f t="shared" si="18"/>
        <v>29.858295756717006</v>
      </c>
      <c r="T32" s="84">
        <f t="shared" si="18"/>
        <v>30.221611738287816</v>
      </c>
      <c r="U32" s="84">
        <f t="shared" si="18"/>
        <v>30.5745298836605</v>
      </c>
      <c r="V32" s="84">
        <f t="shared" si="18"/>
        <v>30.915886365123342</v>
      </c>
      <c r="W32" s="84">
        <f t="shared" si="18"/>
        <v>31.244448364428173</v>
      </c>
      <c r="X32" s="84">
        <f t="shared" si="18"/>
        <v>31.558910640046182</v>
      </c>
      <c r="Y32" s="84">
        <f t="shared" si="18"/>
        <v>31.857891936920183</v>
      </c>
      <c r="Z32" s="84">
        <f t="shared" si="18"/>
        <v>32.13993123180731</v>
      </c>
      <c r="AA32" s="84">
        <f t="shared" si="18"/>
        <v>32.403483807012179</v>
      </c>
      <c r="AB32" s="84">
        <f t="shared" si="18"/>
        <v>32.646917145003243</v>
      </c>
      <c r="AC32" s="84">
        <f t="shared" si="18"/>
        <v>32.868506636085314</v>
      </c>
      <c r="AD32" s="84">
        <f t="shared" si="18"/>
        <v>33.066431090969068</v>
      </c>
      <c r="AE32" s="84">
        <f t="shared" si="18"/>
        <v>33.238768049731391</v>
      </c>
      <c r="AF32" s="85">
        <f t="shared" si="18"/>
        <v>33.383488878297911</v>
      </c>
    </row>
    <row r="33" spans="2:33">
      <c r="B33" s="27" t="s">
        <v>422</v>
      </c>
      <c r="C33" s="84">
        <f>G4</f>
        <v>0</v>
      </c>
      <c r="D33" s="84">
        <f t="shared" ref="D33:AF33" si="19">$G$4*(1+$E$9/100)^(D16-$C$16)</f>
        <v>0</v>
      </c>
      <c r="E33" s="84">
        <f t="shared" si="19"/>
        <v>0</v>
      </c>
      <c r="F33" s="84">
        <f t="shared" si="19"/>
        <v>0</v>
      </c>
      <c r="G33" s="84">
        <f t="shared" si="19"/>
        <v>0</v>
      </c>
      <c r="H33" s="84">
        <f t="shared" si="19"/>
        <v>0</v>
      </c>
      <c r="I33" s="84">
        <f t="shared" si="19"/>
        <v>0</v>
      </c>
      <c r="J33" s="84">
        <f t="shared" si="19"/>
        <v>0</v>
      </c>
      <c r="K33" s="84">
        <f t="shared" si="19"/>
        <v>0</v>
      </c>
      <c r="L33" s="84">
        <f t="shared" si="19"/>
        <v>0</v>
      </c>
      <c r="M33" s="84">
        <f t="shared" si="19"/>
        <v>0</v>
      </c>
      <c r="N33" s="84">
        <f t="shared" si="19"/>
        <v>0</v>
      </c>
      <c r="O33" s="84">
        <f t="shared" si="19"/>
        <v>0</v>
      </c>
      <c r="P33" s="84">
        <f t="shared" si="19"/>
        <v>0</v>
      </c>
      <c r="Q33" s="84">
        <f t="shared" si="19"/>
        <v>0</v>
      </c>
      <c r="R33" s="84">
        <f t="shared" si="19"/>
        <v>0</v>
      </c>
      <c r="S33" s="84">
        <f t="shared" si="19"/>
        <v>0</v>
      </c>
      <c r="T33" s="84">
        <f t="shared" si="19"/>
        <v>0</v>
      </c>
      <c r="U33" s="84">
        <f t="shared" si="19"/>
        <v>0</v>
      </c>
      <c r="V33" s="84">
        <f t="shared" si="19"/>
        <v>0</v>
      </c>
      <c r="W33" s="84">
        <f t="shared" si="19"/>
        <v>0</v>
      </c>
      <c r="X33" s="84">
        <f t="shared" si="19"/>
        <v>0</v>
      </c>
      <c r="Y33" s="84">
        <f t="shared" si="19"/>
        <v>0</v>
      </c>
      <c r="Z33" s="84">
        <f t="shared" si="19"/>
        <v>0</v>
      </c>
      <c r="AA33" s="84">
        <f t="shared" si="19"/>
        <v>0</v>
      </c>
      <c r="AB33" s="84">
        <f t="shared" si="19"/>
        <v>0</v>
      </c>
      <c r="AC33" s="84">
        <f t="shared" si="19"/>
        <v>0</v>
      </c>
      <c r="AD33" s="84">
        <f t="shared" si="19"/>
        <v>0</v>
      </c>
      <c r="AE33" s="84">
        <f t="shared" si="19"/>
        <v>0</v>
      </c>
      <c r="AF33" s="85">
        <f t="shared" si="19"/>
        <v>0</v>
      </c>
    </row>
    <row r="34" spans="2:33">
      <c r="B34" s="27" t="s">
        <v>430</v>
      </c>
      <c r="C34" s="84">
        <f>C32+C33</f>
        <v>22.476935451343486</v>
      </c>
      <c r="D34" s="84">
        <f t="shared" ref="D34:AF34" si="20">D32+D33</f>
        <v>22.787566131556872</v>
      </c>
      <c r="E34" s="84">
        <f>E32+E33</f>
        <v>23.089263174016949</v>
      </c>
      <c r="F34" s="84">
        <f t="shared" si="20"/>
        <v>23.38064997116782</v>
      </c>
      <c r="G34" s="84">
        <f t="shared" si="20"/>
        <v>23.660228316160737</v>
      </c>
      <c r="H34" s="84">
        <f t="shared" si="20"/>
        <v>23.926368126905473</v>
      </c>
      <c r="I34" s="84">
        <f t="shared" si="20"/>
        <v>24.177296272211279</v>
      </c>
      <c r="J34" s="84">
        <f t="shared" si="20"/>
        <v>19.94433791893583</v>
      </c>
      <c r="K34" s="84">
        <f t="shared" si="20"/>
        <v>20.158889309626435</v>
      </c>
      <c r="L34" s="84">
        <f t="shared" si="20"/>
        <v>20.351924377548858</v>
      </c>
      <c r="M34" s="84">
        <f t="shared" si="20"/>
        <v>27.5173242501983</v>
      </c>
      <c r="N34" s="84">
        <f t="shared" si="20"/>
        <v>27.922054529867154</v>
      </c>
      <c r="O34" s="84">
        <f t="shared" si="20"/>
        <v>28.322095140012568</v>
      </c>
      <c r="P34" s="84">
        <f t="shared" si="20"/>
        <v>28.716632127432341</v>
      </c>
      <c r="Q34" s="84">
        <f t="shared" si="20"/>
        <v>29.104800189803484</v>
      </c>
      <c r="R34" s="84">
        <f t="shared" si="20"/>
        <v>29.485680057987686</v>
      </c>
      <c r="S34" s="84">
        <f t="shared" si="20"/>
        <v>29.858295756717006</v>
      </c>
      <c r="T34" s="84">
        <f t="shared" si="20"/>
        <v>30.221611738287816</v>
      </c>
      <c r="U34" s="84">
        <f t="shared" si="20"/>
        <v>30.5745298836605</v>
      </c>
      <c r="V34" s="84">
        <f t="shared" si="20"/>
        <v>30.915886365123342</v>
      </c>
      <c r="W34" s="84">
        <f t="shared" si="20"/>
        <v>31.244448364428173</v>
      </c>
      <c r="X34" s="84">
        <f t="shared" si="20"/>
        <v>31.558910640046182</v>
      </c>
      <c r="Y34" s="84">
        <f t="shared" si="20"/>
        <v>31.857891936920183</v>
      </c>
      <c r="Z34" s="84">
        <f t="shared" si="20"/>
        <v>32.13993123180731</v>
      </c>
      <c r="AA34" s="84">
        <f t="shared" si="20"/>
        <v>32.403483807012179</v>
      </c>
      <c r="AB34" s="84">
        <f t="shared" si="20"/>
        <v>32.646917145003243</v>
      </c>
      <c r="AC34" s="84">
        <f t="shared" si="20"/>
        <v>32.868506636085314</v>
      </c>
      <c r="AD34" s="84">
        <f t="shared" si="20"/>
        <v>33.066431090969068</v>
      </c>
      <c r="AE34" s="84">
        <f t="shared" si="20"/>
        <v>33.238768049731391</v>
      </c>
      <c r="AF34" s="85">
        <f t="shared" si="20"/>
        <v>33.383488878297911</v>
      </c>
    </row>
    <row r="35" spans="2:33">
      <c r="B35" s="27" t="s">
        <v>431</v>
      </c>
      <c r="C35" s="84">
        <f>C34-E4</f>
        <v>-21.499471718995323</v>
      </c>
      <c r="D35" s="84">
        <f>D34</f>
        <v>22.787566131556872</v>
      </c>
      <c r="E35" s="84">
        <f>E34</f>
        <v>23.089263174016949</v>
      </c>
      <c r="F35" s="84">
        <f t="shared" ref="F35:AF35" si="21">F34</f>
        <v>23.38064997116782</v>
      </c>
      <c r="G35" s="84">
        <f t="shared" si="21"/>
        <v>23.660228316160737</v>
      </c>
      <c r="H35" s="84">
        <f t="shared" si="21"/>
        <v>23.926368126905473</v>
      </c>
      <c r="I35" s="84">
        <f t="shared" si="21"/>
        <v>24.177296272211279</v>
      </c>
      <c r="J35" s="84">
        <f t="shared" si="21"/>
        <v>19.94433791893583</v>
      </c>
      <c r="K35" s="84">
        <f t="shared" si="21"/>
        <v>20.158889309626435</v>
      </c>
      <c r="L35" s="84">
        <f t="shared" si="21"/>
        <v>20.351924377548858</v>
      </c>
      <c r="M35" s="84">
        <f t="shared" si="21"/>
        <v>27.5173242501983</v>
      </c>
      <c r="N35" s="84">
        <f t="shared" si="21"/>
        <v>27.922054529867154</v>
      </c>
      <c r="O35" s="84">
        <f t="shared" si="21"/>
        <v>28.322095140012568</v>
      </c>
      <c r="P35" s="84">
        <f t="shared" si="21"/>
        <v>28.716632127432341</v>
      </c>
      <c r="Q35" s="84">
        <f t="shared" si="21"/>
        <v>29.104800189803484</v>
      </c>
      <c r="R35" s="84">
        <f t="shared" si="21"/>
        <v>29.485680057987686</v>
      </c>
      <c r="S35" s="84">
        <f t="shared" si="21"/>
        <v>29.858295756717006</v>
      </c>
      <c r="T35" s="84">
        <f t="shared" si="21"/>
        <v>30.221611738287816</v>
      </c>
      <c r="U35" s="84">
        <f t="shared" si="21"/>
        <v>30.5745298836605</v>
      </c>
      <c r="V35" s="84">
        <f t="shared" si="21"/>
        <v>30.915886365123342</v>
      </c>
      <c r="W35" s="84">
        <f t="shared" si="21"/>
        <v>31.244448364428173</v>
      </c>
      <c r="X35" s="84">
        <f t="shared" si="21"/>
        <v>31.558910640046182</v>
      </c>
      <c r="Y35" s="84">
        <f t="shared" si="21"/>
        <v>31.857891936920183</v>
      </c>
      <c r="Z35" s="84">
        <f t="shared" si="21"/>
        <v>32.13993123180731</v>
      </c>
      <c r="AA35" s="84">
        <f t="shared" si="21"/>
        <v>32.403483807012179</v>
      </c>
      <c r="AB35" s="84">
        <f t="shared" si="21"/>
        <v>32.646917145003243</v>
      </c>
      <c r="AC35" s="84">
        <f t="shared" si="21"/>
        <v>32.868506636085314</v>
      </c>
      <c r="AD35" s="84">
        <f t="shared" si="21"/>
        <v>33.066431090969068</v>
      </c>
      <c r="AE35" s="84">
        <f t="shared" si="21"/>
        <v>33.238768049731391</v>
      </c>
      <c r="AF35" s="85">
        <f t="shared" si="21"/>
        <v>33.383488878297911</v>
      </c>
      <c r="AG35" s="101"/>
    </row>
    <row r="36" spans="2:33">
      <c r="B36" s="27" t="s">
        <v>432</v>
      </c>
      <c r="C36" s="84">
        <f>C35</f>
        <v>-21.499471718995323</v>
      </c>
      <c r="D36" s="84">
        <f t="shared" ref="D36:AF36" si="22">D35/(1+$E$5/100)^(D16-$C$16)</f>
        <v>19.815274897005978</v>
      </c>
      <c r="E36" s="84">
        <f t="shared" si="22"/>
        <v>17.458800131581818</v>
      </c>
      <c r="F36" s="84">
        <f t="shared" si="22"/>
        <v>15.373156880853342</v>
      </c>
      <c r="G36" s="84">
        <f t="shared" si="22"/>
        <v>13.527812331237092</v>
      </c>
      <c r="H36" s="84">
        <f t="shared" si="22"/>
        <v>11.895633592879923</v>
      </c>
      <c r="I36" s="84">
        <f t="shared" si="22"/>
        <v>10.452512373006538</v>
      </c>
      <c r="J36" s="84">
        <f t="shared" si="22"/>
        <v>7.4978153604706295</v>
      </c>
      <c r="K36" s="84">
        <f t="shared" si="22"/>
        <v>6.5899766740854258</v>
      </c>
      <c r="L36" s="84">
        <f t="shared" si="22"/>
        <v>5.7852871132206793</v>
      </c>
      <c r="M36" s="84">
        <f t="shared" si="22"/>
        <v>6.8018617080453598</v>
      </c>
      <c r="N36" s="84">
        <f t="shared" si="22"/>
        <v>6.0016563854642841</v>
      </c>
      <c r="O36" s="84">
        <f t="shared" si="22"/>
        <v>5.2936020899353755</v>
      </c>
      <c r="P36" s="84">
        <f t="shared" si="22"/>
        <v>4.6672555425193369</v>
      </c>
      <c r="Q36" s="84">
        <f t="shared" si="22"/>
        <v>4.1133423517795897</v>
      </c>
      <c r="R36" s="84">
        <f t="shared" si="22"/>
        <v>3.6236274716556531</v>
      </c>
      <c r="S36" s="84">
        <f t="shared" si="22"/>
        <v>3.1907999009829742</v>
      </c>
      <c r="T36" s="84">
        <f t="shared" si="22"/>
        <v>2.8083700693024096</v>
      </c>
      <c r="U36" s="84">
        <f t="shared" si="22"/>
        <v>2.470578522526595</v>
      </c>
      <c r="V36" s="84">
        <f t="shared" si="22"/>
        <v>2.1723146726940037</v>
      </c>
      <c r="W36" s="84">
        <f t="shared" si="22"/>
        <v>1.9090445104102727</v>
      </c>
      <c r="X36" s="84">
        <f t="shared" si="22"/>
        <v>1.6767462984059254</v>
      </c>
      <c r="Y36" s="84">
        <f t="shared" si="22"/>
        <v>1.4718533714962752</v>
      </c>
      <c r="Z36" s="84">
        <f t="shared" si="22"/>
        <v>1.2912032635118762</v>
      </c>
      <c r="AA36" s="84">
        <f t="shared" si="22"/>
        <v>1.1319924667245436</v>
      </c>
      <c r="AB36" s="84">
        <f t="shared" si="22"/>
        <v>0.99173620503883164</v>
      </c>
      <c r="AC36" s="84">
        <f t="shared" si="22"/>
        <v>0.86823266974639646</v>
      </c>
      <c r="AD36" s="84">
        <f t="shared" si="22"/>
        <v>0.7595312268383354</v>
      </c>
      <c r="AE36" s="84">
        <f t="shared" si="22"/>
        <v>0.66390415853029705</v>
      </c>
      <c r="AF36" s="85">
        <f t="shared" si="22"/>
        <v>0.57982154948366516</v>
      </c>
      <c r="AG36" s="101"/>
    </row>
    <row r="37" spans="2:33" ht="15.75" thickBot="1">
      <c r="B37" s="29" t="s">
        <v>433</v>
      </c>
      <c r="C37" s="87">
        <f>C36</f>
        <v>-21.499471718995323</v>
      </c>
      <c r="D37" s="87">
        <f>C37+D36</f>
        <v>-1.6841968219893459</v>
      </c>
      <c r="E37" s="87">
        <f t="shared" ref="E37:AF37" si="23">D37+E36</f>
        <v>15.774603309592472</v>
      </c>
      <c r="F37" s="87">
        <f t="shared" si="23"/>
        <v>31.147760190445815</v>
      </c>
      <c r="G37" s="87">
        <f t="shared" si="23"/>
        <v>44.675572521682909</v>
      </c>
      <c r="H37" s="87">
        <f t="shared" si="23"/>
        <v>56.571206114562834</v>
      </c>
      <c r="I37" s="87">
        <f t="shared" si="23"/>
        <v>67.023718487569369</v>
      </c>
      <c r="J37" s="87">
        <f t="shared" si="23"/>
        <v>74.521533848039994</v>
      </c>
      <c r="K37" s="87">
        <f t="shared" si="23"/>
        <v>81.111510522125414</v>
      </c>
      <c r="L37" s="87">
        <f t="shared" si="23"/>
        <v>86.89679763534609</v>
      </c>
      <c r="M37" s="87">
        <f t="shared" si="23"/>
        <v>93.698659343391455</v>
      </c>
      <c r="N37" s="87">
        <f t="shared" si="23"/>
        <v>99.700315728855742</v>
      </c>
      <c r="O37" s="87">
        <f t="shared" si="23"/>
        <v>104.99391781879112</v>
      </c>
      <c r="P37" s="87">
        <f t="shared" si="23"/>
        <v>109.66117336131046</v>
      </c>
      <c r="Q37" s="87">
        <f t="shared" si="23"/>
        <v>113.77451571309005</v>
      </c>
      <c r="R37" s="87">
        <f t="shared" si="23"/>
        <v>117.39814318474571</v>
      </c>
      <c r="S37" s="87">
        <f t="shared" si="23"/>
        <v>120.58894308572869</v>
      </c>
      <c r="T37" s="87">
        <f t="shared" si="23"/>
        <v>123.3973131550311</v>
      </c>
      <c r="U37" s="87">
        <f t="shared" si="23"/>
        <v>125.86789167755769</v>
      </c>
      <c r="V37" s="87">
        <f t="shared" si="23"/>
        <v>128.04020635025171</v>
      </c>
      <c r="W37" s="87">
        <f t="shared" si="23"/>
        <v>129.94925086066198</v>
      </c>
      <c r="X37" s="87">
        <f t="shared" si="23"/>
        <v>131.62599715906791</v>
      </c>
      <c r="Y37" s="87">
        <f t="shared" si="23"/>
        <v>133.09785053056419</v>
      </c>
      <c r="Z37" s="87">
        <f t="shared" si="23"/>
        <v>134.38905379407606</v>
      </c>
      <c r="AA37" s="87">
        <f t="shared" si="23"/>
        <v>135.5210462608006</v>
      </c>
      <c r="AB37" s="87">
        <f t="shared" si="23"/>
        <v>136.51278246583942</v>
      </c>
      <c r="AC37" s="87">
        <f t="shared" si="23"/>
        <v>137.38101513558581</v>
      </c>
      <c r="AD37" s="87">
        <f t="shared" si="23"/>
        <v>138.14054636242415</v>
      </c>
      <c r="AE37" s="87">
        <f t="shared" si="23"/>
        <v>138.80445052095445</v>
      </c>
      <c r="AF37" s="88">
        <f t="shared" si="23"/>
        <v>139.3842720704381</v>
      </c>
    </row>
    <row r="38" spans="2:33">
      <c r="B38" s="25" t="s">
        <v>430</v>
      </c>
      <c r="C38" s="81">
        <f>C32</f>
        <v>22.476935451343486</v>
      </c>
      <c r="D38" s="81">
        <f t="shared" ref="D38:AF38" si="24">D32</f>
        <v>22.787566131556872</v>
      </c>
      <c r="E38" s="81">
        <f t="shared" si="24"/>
        <v>23.089263174016949</v>
      </c>
      <c r="F38" s="81">
        <f t="shared" si="24"/>
        <v>23.38064997116782</v>
      </c>
      <c r="G38" s="81">
        <f t="shared" si="24"/>
        <v>23.660228316160737</v>
      </c>
      <c r="H38" s="81">
        <f t="shared" si="24"/>
        <v>23.926368126905473</v>
      </c>
      <c r="I38" s="81">
        <f t="shared" si="24"/>
        <v>24.177296272211279</v>
      </c>
      <c r="J38" s="81">
        <f t="shared" si="24"/>
        <v>19.94433791893583</v>
      </c>
      <c r="K38" s="81">
        <f t="shared" si="24"/>
        <v>20.158889309626435</v>
      </c>
      <c r="L38" s="81">
        <f t="shared" si="24"/>
        <v>20.351924377548858</v>
      </c>
      <c r="M38" s="81">
        <f t="shared" si="24"/>
        <v>27.5173242501983</v>
      </c>
      <c r="N38" s="81">
        <f t="shared" si="24"/>
        <v>27.922054529867154</v>
      </c>
      <c r="O38" s="81">
        <f t="shared" si="24"/>
        <v>28.322095140012568</v>
      </c>
      <c r="P38" s="81">
        <f t="shared" si="24"/>
        <v>28.716632127432341</v>
      </c>
      <c r="Q38" s="81">
        <f t="shared" si="24"/>
        <v>29.104800189803484</v>
      </c>
      <c r="R38" s="81">
        <f t="shared" si="24"/>
        <v>29.485680057987686</v>
      </c>
      <c r="S38" s="81">
        <f t="shared" si="24"/>
        <v>29.858295756717006</v>
      </c>
      <c r="T38" s="81">
        <f t="shared" si="24"/>
        <v>30.221611738287816</v>
      </c>
      <c r="U38" s="81">
        <f t="shared" si="24"/>
        <v>30.5745298836605</v>
      </c>
      <c r="V38" s="81">
        <f t="shared" si="24"/>
        <v>30.915886365123342</v>
      </c>
      <c r="W38" s="81">
        <f t="shared" si="24"/>
        <v>31.244448364428173</v>
      </c>
      <c r="X38" s="81">
        <f t="shared" si="24"/>
        <v>31.558910640046182</v>
      </c>
      <c r="Y38" s="81">
        <f t="shared" si="24"/>
        <v>31.857891936920183</v>
      </c>
      <c r="Z38" s="81">
        <f t="shared" si="24"/>
        <v>32.13993123180731</v>
      </c>
      <c r="AA38" s="81">
        <f t="shared" si="24"/>
        <v>32.403483807012179</v>
      </c>
      <c r="AB38" s="81">
        <f t="shared" si="24"/>
        <v>32.646917145003243</v>
      </c>
      <c r="AC38" s="81">
        <f t="shared" si="24"/>
        <v>32.868506636085314</v>
      </c>
      <c r="AD38" s="81">
        <f t="shared" si="24"/>
        <v>33.066431090969068</v>
      </c>
      <c r="AE38" s="81">
        <f t="shared" si="24"/>
        <v>33.238768049731391</v>
      </c>
      <c r="AF38" s="82">
        <f t="shared" si="24"/>
        <v>33.383488878297911</v>
      </c>
    </row>
    <row r="39" spans="2:33">
      <c r="B39" s="27" t="s">
        <v>431</v>
      </c>
      <c r="C39" s="84">
        <f>C38-E4</f>
        <v>-21.499471718995323</v>
      </c>
      <c r="D39" s="84">
        <f>D38</f>
        <v>22.787566131556872</v>
      </c>
      <c r="E39" s="84">
        <f t="shared" ref="E39:AF39" si="25">E38</f>
        <v>23.089263174016949</v>
      </c>
      <c r="F39" s="84">
        <f t="shared" si="25"/>
        <v>23.38064997116782</v>
      </c>
      <c r="G39" s="84">
        <f t="shared" si="25"/>
        <v>23.660228316160737</v>
      </c>
      <c r="H39" s="84">
        <f t="shared" si="25"/>
        <v>23.926368126905473</v>
      </c>
      <c r="I39" s="84">
        <f t="shared" si="25"/>
        <v>24.177296272211279</v>
      </c>
      <c r="J39" s="84">
        <f t="shared" si="25"/>
        <v>19.94433791893583</v>
      </c>
      <c r="K39" s="84">
        <f t="shared" si="25"/>
        <v>20.158889309626435</v>
      </c>
      <c r="L39" s="84">
        <f t="shared" si="25"/>
        <v>20.351924377548858</v>
      </c>
      <c r="M39" s="84">
        <f t="shared" si="25"/>
        <v>27.5173242501983</v>
      </c>
      <c r="N39" s="84">
        <f t="shared" si="25"/>
        <v>27.922054529867154</v>
      </c>
      <c r="O39" s="84">
        <f t="shared" si="25"/>
        <v>28.322095140012568</v>
      </c>
      <c r="P39" s="84">
        <f t="shared" si="25"/>
        <v>28.716632127432341</v>
      </c>
      <c r="Q39" s="84">
        <f t="shared" si="25"/>
        <v>29.104800189803484</v>
      </c>
      <c r="R39" s="84">
        <f t="shared" si="25"/>
        <v>29.485680057987686</v>
      </c>
      <c r="S39" s="84">
        <f t="shared" si="25"/>
        <v>29.858295756717006</v>
      </c>
      <c r="T39" s="84">
        <f t="shared" si="25"/>
        <v>30.221611738287816</v>
      </c>
      <c r="U39" s="84">
        <f t="shared" si="25"/>
        <v>30.5745298836605</v>
      </c>
      <c r="V39" s="84">
        <f t="shared" si="25"/>
        <v>30.915886365123342</v>
      </c>
      <c r="W39" s="84">
        <f t="shared" si="25"/>
        <v>31.244448364428173</v>
      </c>
      <c r="X39" s="84">
        <f t="shared" si="25"/>
        <v>31.558910640046182</v>
      </c>
      <c r="Y39" s="84">
        <f t="shared" si="25"/>
        <v>31.857891936920183</v>
      </c>
      <c r="Z39" s="84">
        <f t="shared" si="25"/>
        <v>32.13993123180731</v>
      </c>
      <c r="AA39" s="84">
        <f t="shared" si="25"/>
        <v>32.403483807012179</v>
      </c>
      <c r="AB39" s="84">
        <f t="shared" si="25"/>
        <v>32.646917145003243</v>
      </c>
      <c r="AC39" s="84">
        <f t="shared" si="25"/>
        <v>32.868506636085314</v>
      </c>
      <c r="AD39" s="84">
        <f t="shared" si="25"/>
        <v>33.066431090969068</v>
      </c>
      <c r="AE39" s="84">
        <f t="shared" si="25"/>
        <v>33.238768049731391</v>
      </c>
      <c r="AF39" s="85">
        <f t="shared" si="25"/>
        <v>33.383488878297911</v>
      </c>
    </row>
    <row r="40" spans="2:33">
      <c r="B40" s="27" t="s">
        <v>432</v>
      </c>
      <c r="C40" s="84">
        <f>C39</f>
        <v>-21.499471718995323</v>
      </c>
      <c r="D40" s="84">
        <f>D39/(1+$E$5/100)^(D16-$C$16)</f>
        <v>19.815274897005978</v>
      </c>
      <c r="E40" s="84">
        <f t="shared" ref="E40:AF40" si="26">E39/(1+$E$5/100)^(E16-$C$16)</f>
        <v>17.458800131581818</v>
      </c>
      <c r="F40" s="84">
        <f t="shared" si="26"/>
        <v>15.373156880853342</v>
      </c>
      <c r="G40" s="84">
        <f t="shared" si="26"/>
        <v>13.527812331237092</v>
      </c>
      <c r="H40" s="84">
        <f t="shared" si="26"/>
        <v>11.895633592879923</v>
      </c>
      <c r="I40" s="84">
        <f t="shared" si="26"/>
        <v>10.452512373006538</v>
      </c>
      <c r="J40" s="84">
        <f t="shared" si="26"/>
        <v>7.4978153604706295</v>
      </c>
      <c r="K40" s="84">
        <f t="shared" si="26"/>
        <v>6.5899766740854258</v>
      </c>
      <c r="L40" s="84">
        <f t="shared" si="26"/>
        <v>5.7852871132206793</v>
      </c>
      <c r="M40" s="84">
        <f t="shared" si="26"/>
        <v>6.8018617080453598</v>
      </c>
      <c r="N40" s="84">
        <f t="shared" si="26"/>
        <v>6.0016563854642841</v>
      </c>
      <c r="O40" s="84">
        <f t="shared" si="26"/>
        <v>5.2936020899353755</v>
      </c>
      <c r="P40" s="84">
        <f t="shared" si="26"/>
        <v>4.6672555425193369</v>
      </c>
      <c r="Q40" s="84">
        <f t="shared" si="26"/>
        <v>4.1133423517795897</v>
      </c>
      <c r="R40" s="84">
        <f t="shared" si="26"/>
        <v>3.6236274716556531</v>
      </c>
      <c r="S40" s="84">
        <f t="shared" si="26"/>
        <v>3.1907999009829742</v>
      </c>
      <c r="T40" s="84">
        <f t="shared" si="26"/>
        <v>2.8083700693024096</v>
      </c>
      <c r="U40" s="84">
        <f t="shared" si="26"/>
        <v>2.470578522526595</v>
      </c>
      <c r="V40" s="84">
        <f t="shared" si="26"/>
        <v>2.1723146726940037</v>
      </c>
      <c r="W40" s="84">
        <f t="shared" si="26"/>
        <v>1.9090445104102727</v>
      </c>
      <c r="X40" s="84">
        <f t="shared" si="26"/>
        <v>1.6767462984059254</v>
      </c>
      <c r="Y40" s="84">
        <f t="shared" si="26"/>
        <v>1.4718533714962752</v>
      </c>
      <c r="Z40" s="84">
        <f t="shared" si="26"/>
        <v>1.2912032635118762</v>
      </c>
      <c r="AA40" s="84">
        <f t="shared" si="26"/>
        <v>1.1319924667245436</v>
      </c>
      <c r="AB40" s="84">
        <f t="shared" si="26"/>
        <v>0.99173620503883164</v>
      </c>
      <c r="AC40" s="84">
        <f t="shared" si="26"/>
        <v>0.86823266974639646</v>
      </c>
      <c r="AD40" s="84">
        <f t="shared" si="26"/>
        <v>0.7595312268383354</v>
      </c>
      <c r="AE40" s="84">
        <f t="shared" si="26"/>
        <v>0.66390415853029705</v>
      </c>
      <c r="AF40" s="85">
        <f t="shared" si="26"/>
        <v>0.57982154948366516</v>
      </c>
    </row>
    <row r="41" spans="2:33" ht="15.75" thickBot="1">
      <c r="B41" s="29" t="s">
        <v>433</v>
      </c>
      <c r="C41" s="87">
        <f>C40</f>
        <v>-21.499471718995323</v>
      </c>
      <c r="D41" s="87">
        <f>D40+C41</f>
        <v>-1.6841968219893459</v>
      </c>
      <c r="E41" s="87">
        <f t="shared" ref="E41:AF41" si="27">E40+D41</f>
        <v>15.774603309592472</v>
      </c>
      <c r="F41" s="87">
        <f t="shared" si="27"/>
        <v>31.147760190445815</v>
      </c>
      <c r="G41" s="87">
        <f t="shared" si="27"/>
        <v>44.675572521682909</v>
      </c>
      <c r="H41" s="87">
        <f t="shared" si="27"/>
        <v>56.571206114562834</v>
      </c>
      <c r="I41" s="87">
        <f t="shared" si="27"/>
        <v>67.023718487569369</v>
      </c>
      <c r="J41" s="87">
        <f t="shared" si="27"/>
        <v>74.521533848039994</v>
      </c>
      <c r="K41" s="87">
        <f t="shared" si="27"/>
        <v>81.111510522125414</v>
      </c>
      <c r="L41" s="87">
        <f t="shared" si="27"/>
        <v>86.89679763534609</v>
      </c>
      <c r="M41" s="87">
        <f t="shared" si="27"/>
        <v>93.698659343391455</v>
      </c>
      <c r="N41" s="87">
        <f t="shared" si="27"/>
        <v>99.700315728855742</v>
      </c>
      <c r="O41" s="87">
        <f t="shared" si="27"/>
        <v>104.99391781879112</v>
      </c>
      <c r="P41" s="87">
        <f t="shared" si="27"/>
        <v>109.66117336131046</v>
      </c>
      <c r="Q41" s="87">
        <f t="shared" si="27"/>
        <v>113.77451571309005</v>
      </c>
      <c r="R41" s="87">
        <f t="shared" si="27"/>
        <v>117.39814318474571</v>
      </c>
      <c r="S41" s="87">
        <f t="shared" si="27"/>
        <v>120.58894308572869</v>
      </c>
      <c r="T41" s="87">
        <f t="shared" si="27"/>
        <v>123.3973131550311</v>
      </c>
      <c r="U41" s="87">
        <f t="shared" si="27"/>
        <v>125.86789167755769</v>
      </c>
      <c r="V41" s="87">
        <f t="shared" si="27"/>
        <v>128.04020635025171</v>
      </c>
      <c r="W41" s="87">
        <f t="shared" si="27"/>
        <v>129.94925086066198</v>
      </c>
      <c r="X41" s="87">
        <f t="shared" si="27"/>
        <v>131.62599715906791</v>
      </c>
      <c r="Y41" s="87">
        <f t="shared" si="27"/>
        <v>133.09785053056419</v>
      </c>
      <c r="Z41" s="87">
        <f t="shared" si="27"/>
        <v>134.38905379407606</v>
      </c>
      <c r="AA41" s="87">
        <f t="shared" si="27"/>
        <v>135.5210462608006</v>
      </c>
      <c r="AB41" s="87">
        <f t="shared" si="27"/>
        <v>136.51278246583942</v>
      </c>
      <c r="AC41" s="87">
        <f t="shared" si="27"/>
        <v>137.38101513558581</v>
      </c>
      <c r="AD41" s="87">
        <f t="shared" si="27"/>
        <v>138.14054636242415</v>
      </c>
      <c r="AE41" s="87">
        <f t="shared" si="27"/>
        <v>138.80445052095445</v>
      </c>
      <c r="AF41" s="88">
        <f t="shared" si="27"/>
        <v>139.3842720704381</v>
      </c>
    </row>
    <row r="42" spans="2:33">
      <c r="B42" s="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2:33">
      <c r="T43" s="74"/>
      <c r="U43" s="74"/>
      <c r="V43" s="74"/>
      <c r="W43" s="74"/>
      <c r="X43" s="74"/>
      <c r="Y43" s="74"/>
      <c r="Z43" s="74"/>
    </row>
    <row r="44" spans="2:33">
      <c r="T44" s="74"/>
      <c r="U44" s="74"/>
      <c r="V44" s="74"/>
      <c r="W44" s="74"/>
      <c r="X44" s="74"/>
      <c r="Y44" s="74"/>
      <c r="Z44" s="74"/>
    </row>
    <row r="45" spans="2:33">
      <c r="T45" s="74"/>
      <c r="U45" s="74"/>
      <c r="V45" s="74"/>
      <c r="W45" s="74"/>
      <c r="X45" s="74"/>
      <c r="Y45" s="74"/>
      <c r="Z45" s="74"/>
    </row>
    <row r="46" spans="2:33">
      <c r="T46" s="74"/>
      <c r="U46" s="74"/>
      <c r="V46" s="74"/>
      <c r="W46" s="74"/>
      <c r="X46" s="74"/>
      <c r="Y46" s="74"/>
      <c r="Z46" s="74"/>
    </row>
    <row r="47" spans="2:33">
      <c r="T47" s="74"/>
      <c r="U47" s="74"/>
      <c r="V47" s="74"/>
      <c r="W47" s="74"/>
      <c r="X47" s="74"/>
      <c r="Y47" s="74"/>
      <c r="Z47" s="74"/>
    </row>
    <row r="48" spans="2:33">
      <c r="T48" s="74"/>
      <c r="U48" s="74"/>
      <c r="V48" s="74"/>
      <c r="W48" s="74"/>
      <c r="X48" s="74"/>
      <c r="Y48" s="74"/>
      <c r="Z48" s="74"/>
    </row>
    <row r="49" spans="20:26">
      <c r="T49" s="74"/>
      <c r="U49" s="74"/>
      <c r="V49" s="74"/>
      <c r="W49" s="74"/>
      <c r="X49" s="74"/>
      <c r="Y49" s="74"/>
      <c r="Z49" s="74"/>
    </row>
    <row r="50" spans="20:26">
      <c r="T50" s="74"/>
      <c r="U50" s="74"/>
      <c r="V50" s="74"/>
      <c r="W50" s="74"/>
      <c r="X50" s="74"/>
      <c r="Y50" s="74"/>
      <c r="Z50" s="74"/>
    </row>
    <row r="51" spans="20:26">
      <c r="T51" s="74"/>
      <c r="U51" s="74"/>
      <c r="V51" s="74"/>
      <c r="W51" s="74"/>
      <c r="X51" s="74"/>
      <c r="Y51" s="74"/>
      <c r="Z51" s="74"/>
    </row>
    <row r="52" spans="20:26">
      <c r="T52" s="74"/>
      <c r="U52" s="74"/>
      <c r="V52" s="74"/>
      <c r="W52" s="74"/>
      <c r="X52" s="74"/>
      <c r="Y52" s="74"/>
      <c r="Z52" s="74"/>
    </row>
    <row r="53" spans="20:26">
      <c r="T53" s="74"/>
      <c r="U53" s="74"/>
      <c r="V53" s="74"/>
      <c r="W53" s="74"/>
      <c r="X53" s="74"/>
      <c r="Y53" s="74"/>
      <c r="Z53" s="74"/>
    </row>
    <row r="54" spans="20:26">
      <c r="T54" s="74"/>
      <c r="U54" s="74"/>
      <c r="V54" s="74"/>
      <c r="W54" s="74"/>
      <c r="X54" s="74"/>
      <c r="Y54" s="74"/>
      <c r="Z54" s="74"/>
    </row>
    <row r="55" spans="20:26">
      <c r="T55" s="74"/>
      <c r="U55" s="74"/>
      <c r="V55" s="74"/>
      <c r="W55" s="74"/>
      <c r="X55" s="74"/>
      <c r="Y55" s="74"/>
      <c r="Z55" s="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9"/>
  <sheetViews>
    <sheetView workbookViewId="0">
      <selection activeCell="N2" sqref="N2"/>
    </sheetView>
  </sheetViews>
  <sheetFormatPr defaultRowHeight="15"/>
  <cols>
    <col min="1" max="1" width="6" customWidth="1"/>
    <col min="2" max="2" width="13.28515625" customWidth="1"/>
    <col min="3" max="3" width="28" bestFit="1" customWidth="1"/>
    <col min="4" max="4" width="9.28515625" bestFit="1" customWidth="1"/>
    <col min="5" max="5" width="11" bestFit="1" customWidth="1"/>
    <col min="6" max="6" width="9.5703125" bestFit="1" customWidth="1"/>
    <col min="8" max="8" width="12.85546875" bestFit="1" customWidth="1"/>
    <col min="9" max="11" width="11.5703125" bestFit="1" customWidth="1"/>
    <col min="18" max="18" width="27.42578125" bestFit="1" customWidth="1"/>
  </cols>
  <sheetData>
    <row r="1" spans="1:22">
      <c r="A1" t="s">
        <v>26</v>
      </c>
      <c r="R1" t="s">
        <v>305</v>
      </c>
      <c r="S1">
        <f>NPV_sensitivity!N2</f>
        <v>1.25</v>
      </c>
    </row>
    <row r="2" spans="1:22">
      <c r="C2" s="30"/>
      <c r="D2" s="30"/>
      <c r="E2" s="30"/>
      <c r="F2" s="30"/>
      <c r="G2" s="30"/>
      <c r="H2" s="30"/>
      <c r="I2" s="30"/>
      <c r="J2" s="30"/>
      <c r="K2" s="30"/>
    </row>
    <row r="3" spans="1:22">
      <c r="B3" t="s">
        <v>27</v>
      </c>
      <c r="C3" s="30">
        <v>8000</v>
      </c>
      <c r="D3" s="30"/>
      <c r="E3" s="30"/>
      <c r="F3" s="30"/>
      <c r="G3" s="30"/>
      <c r="H3" s="30" t="s">
        <v>295</v>
      </c>
      <c r="I3" s="30" t="s">
        <v>296</v>
      </c>
      <c r="J3" s="30" t="s">
        <v>297</v>
      </c>
      <c r="K3" s="30" t="s">
        <v>308</v>
      </c>
      <c r="S3" t="s">
        <v>295</v>
      </c>
      <c r="T3" t="s">
        <v>296</v>
      </c>
      <c r="U3" t="s">
        <v>297</v>
      </c>
      <c r="V3" t="s">
        <v>308</v>
      </c>
    </row>
    <row r="4" spans="1:22">
      <c r="A4" t="s">
        <v>278</v>
      </c>
      <c r="C4" s="30"/>
      <c r="D4" s="30"/>
      <c r="E4" s="30"/>
      <c r="F4" s="30"/>
      <c r="G4" s="30"/>
      <c r="H4" s="30">
        <f>'COG utility'!F24*'COG utility'!I18</f>
        <v>3314439.6900005438</v>
      </c>
      <c r="I4" s="30">
        <f>'NG utility'!F24*'NG utility'!I18</f>
        <v>5773649.8500005426</v>
      </c>
      <c r="J4" s="30">
        <f>'BFG utility'!F24*'BFG utility'!I18</f>
        <v>5773649.8500005454</v>
      </c>
      <c r="K4" s="30">
        <f>'NG utility with WGS'!F30*'NG utility with WGS'!I18</f>
        <v>6260901.0980005413</v>
      </c>
      <c r="R4" t="s">
        <v>273</v>
      </c>
      <c r="S4" s="49">
        <f>H4/1000000</f>
        <v>3.3144396900005439</v>
      </c>
      <c r="T4" s="49">
        <f t="shared" ref="T4:V4" si="0">I4/1000000</f>
        <v>5.7736498500005426</v>
      </c>
      <c r="U4" s="49">
        <f t="shared" si="0"/>
        <v>5.7736498500005453</v>
      </c>
      <c r="V4" s="49">
        <f t="shared" si="0"/>
        <v>6.2609010980005415</v>
      </c>
    </row>
    <row r="5" spans="1:22">
      <c r="A5" s="2" t="s">
        <v>28</v>
      </c>
      <c r="B5" s="2"/>
      <c r="C5" s="34"/>
      <c r="D5" s="34"/>
      <c r="E5" s="34"/>
      <c r="F5" s="34">
        <f>SUM(F6:F10)</f>
        <v>463800</v>
      </c>
      <c r="G5" s="30"/>
      <c r="H5" s="30">
        <f t="shared" ref="H5:H10" si="1">F5</f>
        <v>463800</v>
      </c>
      <c r="I5" s="30">
        <f t="shared" ref="I5:I10" si="2">F5</f>
        <v>463800</v>
      </c>
      <c r="J5" s="30">
        <f>I5</f>
        <v>463800</v>
      </c>
      <c r="K5" s="30">
        <f>J5</f>
        <v>463800</v>
      </c>
      <c r="R5" t="s">
        <v>274</v>
      </c>
      <c r="S5" s="49">
        <f>H5/1000000/$S$1</f>
        <v>0.37103999999999998</v>
      </c>
      <c r="T5" s="49">
        <f t="shared" ref="T5:V5" si="3">I5/1000000/$S$1</f>
        <v>0.37103999999999998</v>
      </c>
      <c r="U5" s="49">
        <f>J5/1000000/$S$1</f>
        <v>0.37103999999999998</v>
      </c>
      <c r="V5" s="49">
        <f t="shared" si="3"/>
        <v>0.37103999999999998</v>
      </c>
    </row>
    <row r="6" spans="1:22">
      <c r="A6" s="2"/>
      <c r="B6" s="2" t="s">
        <v>29</v>
      </c>
      <c r="C6" s="34"/>
      <c r="D6" s="34">
        <v>35</v>
      </c>
      <c r="E6" s="34" t="s">
        <v>30</v>
      </c>
      <c r="F6" s="34">
        <f>D6*C3</f>
        <v>280000</v>
      </c>
      <c r="G6" s="30" t="s">
        <v>31</v>
      </c>
      <c r="H6" s="30">
        <f t="shared" si="1"/>
        <v>280000</v>
      </c>
      <c r="I6" s="30">
        <f t="shared" si="2"/>
        <v>280000</v>
      </c>
      <c r="J6" s="30">
        <f t="shared" ref="J6:K10" si="4">I6</f>
        <v>280000</v>
      </c>
      <c r="K6" s="30">
        <f t="shared" si="4"/>
        <v>280000</v>
      </c>
      <c r="R6" t="s">
        <v>275</v>
      </c>
      <c r="S6" s="49">
        <f>H11/1000000/$S$1</f>
        <v>10.745293552981645</v>
      </c>
      <c r="T6" s="49">
        <f t="shared" ref="T6:V6" si="5">I11/1000000/$S$1</f>
        <v>12.030417661823282</v>
      </c>
      <c r="U6" s="49">
        <f t="shared" si="5"/>
        <v>12.030417661823282</v>
      </c>
      <c r="V6" s="49">
        <f t="shared" si="5"/>
        <v>12.747258642503645</v>
      </c>
    </row>
    <row r="7" spans="1:22">
      <c r="A7" s="2"/>
      <c r="B7" s="2" t="s">
        <v>32</v>
      </c>
      <c r="C7" s="34"/>
      <c r="D7" s="34">
        <v>15</v>
      </c>
      <c r="E7" s="34" t="s">
        <v>33</v>
      </c>
      <c r="F7" s="34">
        <f>D7*$F$6/100</f>
        <v>42000</v>
      </c>
      <c r="G7" s="30" t="s">
        <v>31</v>
      </c>
      <c r="H7" s="30">
        <f t="shared" si="1"/>
        <v>42000</v>
      </c>
      <c r="I7" s="30">
        <f t="shared" si="2"/>
        <v>42000</v>
      </c>
      <c r="J7" s="30">
        <f t="shared" si="4"/>
        <v>42000</v>
      </c>
      <c r="K7" s="30">
        <f t="shared" si="4"/>
        <v>42000</v>
      </c>
      <c r="R7" t="s">
        <v>276</v>
      </c>
      <c r="S7" s="49">
        <f>H19/1000000/$S$1</f>
        <v>1.3902148272172909</v>
      </c>
      <c r="T7" s="49">
        <f t="shared" ref="T7:V7" si="6">I19/1000000/$S$1</f>
        <v>1.549458466791146</v>
      </c>
      <c r="U7" s="49">
        <f t="shared" si="6"/>
        <v>1.549458466791146</v>
      </c>
      <c r="V7" s="49">
        <f t="shared" si="6"/>
        <v>1.6382844143971909</v>
      </c>
    </row>
    <row r="8" spans="1:22">
      <c r="A8" s="2"/>
      <c r="B8" s="2" t="s">
        <v>34</v>
      </c>
      <c r="C8" s="34"/>
      <c r="D8" s="34">
        <v>6</v>
      </c>
      <c r="E8" s="34" t="s">
        <v>33</v>
      </c>
      <c r="F8" s="34">
        <f>D8*$F$6/100</f>
        <v>16800</v>
      </c>
      <c r="G8" s="30" t="s">
        <v>31</v>
      </c>
      <c r="H8" s="30">
        <f t="shared" si="1"/>
        <v>16800</v>
      </c>
      <c r="I8" s="30">
        <f t="shared" si="2"/>
        <v>16800</v>
      </c>
      <c r="J8" s="30">
        <f t="shared" si="4"/>
        <v>16800</v>
      </c>
      <c r="K8" s="30">
        <f t="shared" si="4"/>
        <v>16800</v>
      </c>
      <c r="R8" t="s">
        <v>277</v>
      </c>
      <c r="S8" s="49">
        <f>H24/1000000/$S$1</f>
        <v>2.0763852276293031</v>
      </c>
      <c r="T8" s="49">
        <f t="shared" ref="T8:V8" si="7">I24/1000000/$S$1</f>
        <v>2.3247183887581224</v>
      </c>
      <c r="U8" s="49">
        <f t="shared" si="7"/>
        <v>2.3247183887581224</v>
      </c>
      <c r="V8" s="49">
        <f t="shared" si="7"/>
        <v>2.4632383850248591</v>
      </c>
    </row>
    <row r="9" spans="1:22">
      <c r="A9" s="2"/>
      <c r="B9" s="2" t="s">
        <v>35</v>
      </c>
      <c r="C9" s="34"/>
      <c r="D9" s="34"/>
      <c r="E9" s="34"/>
      <c r="F9" s="34">
        <v>60000</v>
      </c>
      <c r="G9" s="30" t="s">
        <v>31</v>
      </c>
      <c r="H9" s="30">
        <f t="shared" si="1"/>
        <v>60000</v>
      </c>
      <c r="I9" s="30">
        <f t="shared" si="2"/>
        <v>60000</v>
      </c>
      <c r="J9" s="30">
        <f t="shared" si="4"/>
        <v>60000</v>
      </c>
      <c r="K9" s="30">
        <f t="shared" si="4"/>
        <v>60000</v>
      </c>
      <c r="R9" t="s">
        <v>54</v>
      </c>
      <c r="S9" s="49">
        <f>H26/1000000/$S$1</f>
        <v>8.3055409105172124</v>
      </c>
      <c r="T9" s="49">
        <f t="shared" ref="T9:V9" si="8">I26/1000000/$S$1</f>
        <v>9.2988735550324897</v>
      </c>
      <c r="U9" s="49">
        <f t="shared" si="8"/>
        <v>9.2988735550324897</v>
      </c>
      <c r="V9" s="49">
        <f t="shared" si="8"/>
        <v>9.8529535400994366</v>
      </c>
    </row>
    <row r="10" spans="1:22">
      <c r="A10" s="2"/>
      <c r="B10" s="2" t="s">
        <v>36</v>
      </c>
      <c r="C10" s="34"/>
      <c r="D10" s="34"/>
      <c r="E10" s="34"/>
      <c r="F10" s="34">
        <v>65000</v>
      </c>
      <c r="G10" s="30" t="s">
        <v>31</v>
      </c>
      <c r="H10" s="30">
        <f t="shared" si="1"/>
        <v>65000</v>
      </c>
      <c r="I10" s="30">
        <f t="shared" si="2"/>
        <v>65000</v>
      </c>
      <c r="J10" s="30">
        <f t="shared" si="4"/>
        <v>65000</v>
      </c>
      <c r="K10" s="30">
        <f t="shared" si="4"/>
        <v>65000</v>
      </c>
      <c r="R10" t="s">
        <v>64</v>
      </c>
      <c r="S10" s="49">
        <f>H37/1000000</f>
        <v>5.7834299169448427</v>
      </c>
      <c r="T10" s="49">
        <f>I37/1000000</f>
        <v>8.2301788387555757</v>
      </c>
      <c r="U10" s="49">
        <f>J37/1000000</f>
        <v>8.2301788387555757</v>
      </c>
      <c r="V10" s="49">
        <f>K37/1000000</f>
        <v>8.4312517989357758</v>
      </c>
    </row>
    <row r="11" spans="1:22">
      <c r="A11" s="2" t="s">
        <v>37</v>
      </c>
      <c r="B11" s="2"/>
      <c r="C11" s="34"/>
      <c r="D11" s="34"/>
      <c r="E11" s="34"/>
      <c r="F11" s="34"/>
      <c r="G11" s="30"/>
      <c r="H11" s="30">
        <f>H12+H16+H17+H18</f>
        <v>13431616.941227056</v>
      </c>
      <c r="I11" s="30">
        <f>I12+I16+I17+I18</f>
        <v>15038022.077279102</v>
      </c>
      <c r="J11" s="30">
        <f>J12+J16+J17+J18</f>
        <v>15038022.077279102</v>
      </c>
      <c r="K11" s="30">
        <f>K12+K16+K17+K18</f>
        <v>15934073.303129558</v>
      </c>
    </row>
    <row r="12" spans="1:22">
      <c r="A12" s="2"/>
      <c r="B12" s="2" t="s">
        <v>38</v>
      </c>
      <c r="C12" s="34"/>
      <c r="D12" s="34">
        <f>SUM(D13:D15)</f>
        <v>13</v>
      </c>
      <c r="E12" s="34" t="s">
        <v>39</v>
      </c>
      <c r="F12" s="34"/>
      <c r="G12" s="30"/>
      <c r="H12" s="30">
        <f>SUM(H13:H15)</f>
        <v>5839833.4527074154</v>
      </c>
      <c r="I12" s="30">
        <f>SUM(I13:I15)</f>
        <v>6538270.4683822189</v>
      </c>
      <c r="J12" s="30">
        <f>SUM(J13:J15)</f>
        <v>6538270.4683822189</v>
      </c>
      <c r="K12" s="30">
        <f>SUM(K13:K15)</f>
        <v>6927857.9578824155</v>
      </c>
    </row>
    <row r="13" spans="1:22">
      <c r="A13" s="2"/>
      <c r="B13" s="2"/>
      <c r="C13" s="34" t="s">
        <v>40</v>
      </c>
      <c r="D13" s="34">
        <v>3.5</v>
      </c>
      <c r="E13" s="34" t="s">
        <v>39</v>
      </c>
      <c r="F13" s="34"/>
      <c r="G13" s="30"/>
      <c r="H13" s="30"/>
      <c r="I13" s="30"/>
      <c r="J13" s="30"/>
      <c r="K13" s="30"/>
    </row>
    <row r="14" spans="1:22">
      <c r="A14" s="2"/>
      <c r="B14" s="2"/>
      <c r="C14" s="34" t="s">
        <v>41</v>
      </c>
      <c r="D14" s="34">
        <v>4.5</v>
      </c>
      <c r="E14" s="34" t="s">
        <v>39</v>
      </c>
      <c r="F14" s="34"/>
      <c r="G14" s="30"/>
      <c r="H14" s="30">
        <f>$D14*FCI!C$32/100*1000000</f>
        <v>5839833.4527074154</v>
      </c>
      <c r="I14" s="30">
        <f>$D14*FCI!D$32/100*1000000</f>
        <v>6538270.4683822189</v>
      </c>
      <c r="J14" s="30">
        <f>$D14*FCI!E$32/100*1000000</f>
        <v>6538270.4683822189</v>
      </c>
      <c r="K14" s="30">
        <f>$D14*FCI!F$32/100*1000000</f>
        <v>6927857.9578824155</v>
      </c>
    </row>
    <row r="15" spans="1:22">
      <c r="A15" s="2"/>
      <c r="B15" s="2"/>
      <c r="C15" s="34" t="s">
        <v>42</v>
      </c>
      <c r="D15" s="34">
        <v>5</v>
      </c>
      <c r="E15" s="34" t="s">
        <v>39</v>
      </c>
      <c r="F15" s="34"/>
      <c r="G15" s="30"/>
      <c r="H15" s="30"/>
      <c r="I15" s="30"/>
      <c r="J15" s="30"/>
      <c r="K15" s="30"/>
    </row>
    <row r="16" spans="1:22">
      <c r="A16" s="2"/>
      <c r="B16" s="2" t="s">
        <v>43</v>
      </c>
      <c r="C16" s="34"/>
      <c r="D16" s="89">
        <v>25</v>
      </c>
      <c r="E16" s="89" t="s">
        <v>44</v>
      </c>
      <c r="F16" s="34"/>
      <c r="G16" s="30"/>
      <c r="H16" s="30">
        <f>D16/100*$H$12</f>
        <v>1459958.3631768539</v>
      </c>
      <c r="I16" s="30">
        <f>D16/100*$I$12</f>
        <v>1634567.6170955547</v>
      </c>
      <c r="J16" s="30">
        <f>D16/100*$J$12</f>
        <v>1634567.6170955547</v>
      </c>
      <c r="K16" s="30">
        <f>D16/100*$K$12</f>
        <v>1731964.4894706039</v>
      </c>
    </row>
    <row r="17" spans="1:13">
      <c r="A17" s="2"/>
      <c r="B17" s="2" t="s">
        <v>45</v>
      </c>
      <c r="C17" s="34"/>
      <c r="D17" s="89">
        <v>100</v>
      </c>
      <c r="E17" s="89" t="s">
        <v>44</v>
      </c>
      <c r="F17" s="34"/>
      <c r="G17" s="30"/>
      <c r="H17" s="30">
        <f>D17/100*$H$12</f>
        <v>5839833.4527074154</v>
      </c>
      <c r="I17" s="30">
        <f>D17/100*$I$12</f>
        <v>6538270.4683822189</v>
      </c>
      <c r="J17" s="30">
        <f>D17/100*$J$12</f>
        <v>6538270.4683822189</v>
      </c>
      <c r="K17" s="30">
        <f>D17/100*$K$12</f>
        <v>6927857.9578824155</v>
      </c>
    </row>
    <row r="18" spans="1:13">
      <c r="A18" s="2"/>
      <c r="B18" s="2" t="s">
        <v>46</v>
      </c>
      <c r="C18" s="34"/>
      <c r="D18" s="89">
        <v>5</v>
      </c>
      <c r="E18" s="89" t="s">
        <v>44</v>
      </c>
      <c r="F18" s="34"/>
      <c r="G18" s="30"/>
      <c r="H18" s="30">
        <f>D18/100*$H$12</f>
        <v>291991.67263537081</v>
      </c>
      <c r="I18" s="30">
        <f>D18/100*$I$12</f>
        <v>326913.52341911098</v>
      </c>
      <c r="J18" s="30">
        <f>D18/100*$J$12</f>
        <v>326913.52341911098</v>
      </c>
      <c r="K18" s="30">
        <f>D18/100*$K$12</f>
        <v>346392.89789412078</v>
      </c>
    </row>
    <row r="19" spans="1:13">
      <c r="A19" s="2" t="s">
        <v>47</v>
      </c>
      <c r="B19" s="2"/>
      <c r="C19" s="34"/>
      <c r="D19" s="34">
        <f>SUM(D20:D23)</f>
        <v>22.8</v>
      </c>
      <c r="E19" s="34"/>
      <c r="F19" s="34"/>
      <c r="G19" s="30"/>
      <c r="H19" s="30">
        <f>$D$19/100*(H6+H7+H12+H16)</f>
        <v>1737768.5340216137</v>
      </c>
      <c r="I19" s="30">
        <f>$D$19/100*(I6+I7+I12+I16)</f>
        <v>1936823.0834889323</v>
      </c>
      <c r="J19" s="30">
        <f>$D$19/100*(J6+J7+J12+J16)</f>
        <v>1936823.0834889323</v>
      </c>
      <c r="K19" s="30">
        <f>$D$19/100*(K6+K7+K12+K16)</f>
        <v>2047855.5179964886</v>
      </c>
    </row>
    <row r="20" spans="1:13">
      <c r="A20" s="2"/>
      <c r="B20" s="2" t="s">
        <v>48</v>
      </c>
      <c r="C20" s="34"/>
      <c r="D20" s="89">
        <v>7.1</v>
      </c>
      <c r="E20" s="89" t="s">
        <v>49</v>
      </c>
      <c r="F20" s="34"/>
      <c r="G20" s="30"/>
      <c r="H20" s="30"/>
      <c r="I20" s="30"/>
      <c r="J20" s="30"/>
      <c r="K20" s="30"/>
    </row>
    <row r="21" spans="1:13">
      <c r="A21" s="2"/>
      <c r="B21" s="2" t="s">
        <v>50</v>
      </c>
      <c r="C21" s="34"/>
      <c r="D21" s="89">
        <v>2.4</v>
      </c>
      <c r="E21" s="89" t="s">
        <v>49</v>
      </c>
      <c r="F21" s="34"/>
      <c r="G21" s="30"/>
      <c r="H21" s="30"/>
      <c r="I21" s="30"/>
      <c r="J21" s="30"/>
      <c r="K21" s="30"/>
    </row>
    <row r="22" spans="1:13">
      <c r="A22" s="2"/>
      <c r="B22" s="2" t="s">
        <v>51</v>
      </c>
      <c r="C22" s="34"/>
      <c r="D22" s="89">
        <v>5.9</v>
      </c>
      <c r="E22" s="89" t="s">
        <v>49</v>
      </c>
      <c r="F22" s="34"/>
      <c r="G22" s="30"/>
      <c r="H22" s="30"/>
      <c r="I22" s="30"/>
      <c r="J22" s="30"/>
      <c r="K22" s="30"/>
    </row>
    <row r="23" spans="1:13">
      <c r="A23" s="2"/>
      <c r="B23" s="2" t="s">
        <v>52</v>
      </c>
      <c r="C23" s="34"/>
      <c r="D23" s="89">
        <v>7.4</v>
      </c>
      <c r="E23" s="89" t="s">
        <v>49</v>
      </c>
      <c r="F23" s="34"/>
      <c r="G23" s="30"/>
      <c r="H23" s="30"/>
      <c r="I23" s="30"/>
      <c r="J23" s="30"/>
      <c r="K23" s="30"/>
    </row>
    <row r="24" spans="1:13">
      <c r="A24" s="2" t="s">
        <v>53</v>
      </c>
      <c r="B24" s="2"/>
      <c r="C24" s="34"/>
      <c r="D24" s="89">
        <v>2</v>
      </c>
      <c r="E24" s="34" t="s">
        <v>39</v>
      </c>
      <c r="F24" s="34"/>
      <c r="G24" s="30"/>
      <c r="H24" s="30">
        <f>$D$24/100*FCI!C$32*1000000</f>
        <v>2595481.534536629</v>
      </c>
      <c r="I24" s="30">
        <f>$D$24/100*FCI!D$32*1000000</f>
        <v>2905897.9859476527</v>
      </c>
      <c r="J24" s="30">
        <f>$D$24/100*FCI!E$32*1000000</f>
        <v>2905897.9859476527</v>
      </c>
      <c r="K24" s="30">
        <f>$D$24/100*FCI!F$32*1000000</f>
        <v>3079047.9812810738</v>
      </c>
    </row>
    <row r="25" spans="1:13" ht="15.75" thickBot="1">
      <c r="A25" s="2" t="s">
        <v>54</v>
      </c>
      <c r="B25" s="2"/>
      <c r="C25" s="34"/>
      <c r="D25" s="34"/>
      <c r="E25" s="34"/>
      <c r="F25" s="34"/>
      <c r="G25" s="30"/>
      <c r="H25" s="30"/>
      <c r="I25" s="30"/>
      <c r="J25" s="30"/>
      <c r="K25" s="30"/>
    </row>
    <row r="26" spans="1:13">
      <c r="A26" s="2"/>
      <c r="B26" s="2" t="s">
        <v>55</v>
      </c>
      <c r="C26" s="34"/>
      <c r="D26" s="90">
        <v>8</v>
      </c>
      <c r="E26" s="91" t="s">
        <v>56</v>
      </c>
      <c r="F26" s="54"/>
      <c r="G26" s="54"/>
      <c r="H26" s="54">
        <f>$D$26/100*FCI!C32*1000000</f>
        <v>10381926.138146516</v>
      </c>
      <c r="I26" s="54">
        <f>$D$26/100*FCI!D32*1000000</f>
        <v>11623591.943790611</v>
      </c>
      <c r="J26" s="54">
        <f>$D$26/100*FCI!E32*1000000</f>
        <v>11623591.943790611</v>
      </c>
      <c r="K26" s="54">
        <f>$D$26/100*FCI!F32*1000000</f>
        <v>12316191.925124295</v>
      </c>
    </row>
    <row r="27" spans="1:13" ht="15.75" thickBot="1">
      <c r="A27" s="2"/>
      <c r="B27" s="2" t="s">
        <v>57</v>
      </c>
      <c r="C27" s="34"/>
      <c r="D27" s="92">
        <v>6</v>
      </c>
      <c r="E27" s="93" t="s">
        <v>58</v>
      </c>
      <c r="F27" s="57"/>
      <c r="G27" s="57"/>
      <c r="H27" s="57"/>
      <c r="I27" s="58"/>
      <c r="J27" s="30"/>
      <c r="K27" s="30"/>
      <c r="M27" t="s">
        <v>59</v>
      </c>
    </row>
    <row r="28" spans="1:13">
      <c r="A28" s="2"/>
      <c r="B28" s="2" t="s">
        <v>60</v>
      </c>
      <c r="C28" s="34"/>
      <c r="D28" s="34"/>
      <c r="E28" s="34"/>
      <c r="F28" s="34"/>
      <c r="G28" s="30"/>
      <c r="H28" s="30"/>
      <c r="I28" s="30"/>
      <c r="J28" s="30"/>
      <c r="K28" s="30"/>
    </row>
    <row r="29" spans="1:13">
      <c r="A29" s="2"/>
      <c r="B29" s="2" t="s">
        <v>61</v>
      </c>
      <c r="C29" s="34"/>
      <c r="D29" s="34"/>
      <c r="E29" s="34"/>
      <c r="F29" s="34"/>
      <c r="G29" s="30"/>
      <c r="H29" s="30"/>
      <c r="I29" s="30"/>
      <c r="J29" s="30"/>
      <c r="K29" s="30"/>
    </row>
    <row r="30" spans="1:13">
      <c r="A30" s="2" t="s">
        <v>62</v>
      </c>
      <c r="B30" s="2"/>
      <c r="C30" s="34"/>
      <c r="D30" s="34" t="s">
        <v>63</v>
      </c>
      <c r="E30" s="34"/>
      <c r="F30" s="34"/>
      <c r="G30" s="30"/>
      <c r="H30" s="30">
        <f>H4+H5+H11+H19+H24+H26</f>
        <v>31925032.837932359</v>
      </c>
      <c r="I30" s="30">
        <f>I4+I5+I11+I19+I24+I26</f>
        <v>37741784.940506846</v>
      </c>
      <c r="J30" s="30">
        <f>J4+J5+J11+J19+J24+J26</f>
        <v>37741784.940506846</v>
      </c>
      <c r="K30" s="30">
        <f>K4+K5+K11+K19+K24+K26</f>
        <v>40101869.82553196</v>
      </c>
    </row>
    <row r="31" spans="1:13">
      <c r="A31" s="2" t="s">
        <v>64</v>
      </c>
      <c r="B31" s="2"/>
      <c r="C31" s="34"/>
      <c r="D31" s="34"/>
      <c r="E31" s="34"/>
      <c r="F31" s="34"/>
      <c r="G31" s="30"/>
      <c r="H31" s="30"/>
      <c r="I31" s="30"/>
      <c r="J31" s="30"/>
      <c r="K31" s="30"/>
    </row>
    <row r="32" spans="1:13">
      <c r="A32" s="2"/>
      <c r="B32" s="2" t="s">
        <v>65</v>
      </c>
      <c r="C32" s="34"/>
      <c r="D32" s="34">
        <v>3</v>
      </c>
      <c r="E32" s="34" t="s">
        <v>66</v>
      </c>
      <c r="F32" s="34"/>
      <c r="G32" s="30"/>
      <c r="H32" s="30"/>
      <c r="I32" s="30"/>
      <c r="J32" s="30"/>
      <c r="K32" s="30"/>
    </row>
    <row r="33" spans="1:11">
      <c r="A33" s="2"/>
      <c r="B33" s="2" t="s">
        <v>67</v>
      </c>
      <c r="C33" s="34"/>
      <c r="D33" s="34">
        <v>4.8</v>
      </c>
      <c r="E33" s="34" t="s">
        <v>66</v>
      </c>
      <c r="F33" s="34"/>
      <c r="G33" s="30"/>
      <c r="H33" s="30"/>
      <c r="I33" s="30"/>
      <c r="J33" s="30"/>
      <c r="K33" s="30"/>
    </row>
    <row r="34" spans="1:11">
      <c r="A34" s="2"/>
      <c r="B34" s="2" t="s">
        <v>68</v>
      </c>
      <c r="C34" s="34"/>
      <c r="D34" s="34">
        <v>0.5</v>
      </c>
      <c r="E34" s="34" t="s">
        <v>66</v>
      </c>
      <c r="F34" s="34"/>
      <c r="G34" s="30"/>
      <c r="H34" s="30"/>
      <c r="I34" s="30"/>
      <c r="J34" s="30"/>
      <c r="K34" s="30"/>
    </row>
    <row r="35" spans="1:11">
      <c r="A35" s="2"/>
      <c r="B35" s="2" t="s">
        <v>69</v>
      </c>
      <c r="C35" s="34"/>
      <c r="D35" s="89">
        <v>2</v>
      </c>
      <c r="E35" s="34" t="s">
        <v>66</v>
      </c>
      <c r="F35" s="34"/>
      <c r="G35" s="30"/>
      <c r="H35" s="30"/>
      <c r="I35" s="30"/>
      <c r="J35" s="30"/>
      <c r="K35" s="30"/>
    </row>
    <row r="36" spans="1:11">
      <c r="A36" s="2"/>
      <c r="B36" s="2" t="s">
        <v>70</v>
      </c>
      <c r="C36" s="34"/>
      <c r="D36" s="89">
        <v>1.25</v>
      </c>
      <c r="E36" s="34" t="s">
        <v>66</v>
      </c>
      <c r="F36" s="34"/>
      <c r="G36" s="30"/>
      <c r="H36" s="30"/>
      <c r="I36" s="30"/>
      <c r="J36" s="30"/>
      <c r="K36" s="30"/>
    </row>
    <row r="37" spans="1:11">
      <c r="A37" s="2" t="s">
        <v>71</v>
      </c>
      <c r="B37" s="2"/>
      <c r="C37" s="34"/>
      <c r="D37" s="34">
        <f>SUM(D32:D36)</f>
        <v>11.55</v>
      </c>
      <c r="E37" s="34"/>
      <c r="F37" s="34"/>
      <c r="G37" s="30"/>
      <c r="H37" s="30">
        <f>D37/100*('COG utility'!I2*'COG utility'!I1/1000*'Maintenance &amp; Operations cost'!C3-'COG utility'!O2*'COG utility'!O3/100)</f>
        <v>5783429.9169448428</v>
      </c>
      <c r="I37" s="30">
        <f>D37/100*('NG utility'!I2*'NG utility'!I1/1000*'Maintenance &amp; Operations cost'!C3-'NG utility'!O2*'NG utility'!O3/100)</f>
        <v>8230178.8387555759</v>
      </c>
      <c r="J37" s="30">
        <f>D37/100*('BFG utility'!I2*'BFG utility'!I1/1000*'Maintenance &amp; Operations cost'!C3-'BFG utility'!O2*'BFG utility'!O3/100)</f>
        <v>8230178.8387555759</v>
      </c>
      <c r="K37" s="30">
        <f>D37/100*('NG utility with WGS'!I2*'NG utility with WGS'!I1/1000*'Maintenance &amp; Operations cost'!C3-'NG utility with WGS'!O2*'NG utility with WGS'!O3/100)</f>
        <v>8431251.7989357766</v>
      </c>
    </row>
    <row r="38" spans="1:11">
      <c r="A38" s="2" t="s">
        <v>125</v>
      </c>
      <c r="B38" s="2"/>
      <c r="C38" s="34"/>
      <c r="D38" s="34" t="s">
        <v>72</v>
      </c>
      <c r="E38" s="34"/>
      <c r="F38" s="34"/>
      <c r="G38" s="30"/>
      <c r="H38" s="30">
        <f>H30+H37</f>
        <v>37708462.754877202</v>
      </c>
      <c r="I38" s="30">
        <f>I30+I37</f>
        <v>45971963.779262424</v>
      </c>
      <c r="J38" s="30">
        <f>J30+J37</f>
        <v>45971963.779262424</v>
      </c>
      <c r="K38" s="30">
        <f>K30+K37</f>
        <v>48533121.624467738</v>
      </c>
    </row>
    <row r="39" spans="1:11">
      <c r="A39" t="s">
        <v>124</v>
      </c>
      <c r="C39" s="30"/>
      <c r="D39" s="30"/>
      <c r="E39" s="30"/>
      <c r="F39" s="30"/>
      <c r="G39" s="30"/>
      <c r="H39" s="30">
        <f>H38/1000000</f>
        <v>37.708462754877203</v>
      </c>
      <c r="I39" s="30">
        <f>I38/1000000</f>
        <v>45.971963779262424</v>
      </c>
      <c r="J39" s="30">
        <f>J38/1000000</f>
        <v>45.971963779262424</v>
      </c>
      <c r="K39" s="30">
        <f>K38/1000000</f>
        <v>48.533121624467739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34"/>
  <sheetViews>
    <sheetView workbookViewId="0">
      <selection activeCell="C3" sqref="C3"/>
    </sheetView>
  </sheetViews>
  <sheetFormatPr defaultRowHeight="15"/>
  <cols>
    <col min="1" max="1" width="9.140625" style="30"/>
    <col min="2" max="2" width="46.28515625" style="30" bestFit="1" customWidth="1"/>
    <col min="3" max="3" width="32.85546875" style="30" bestFit="1" customWidth="1"/>
    <col min="4" max="4" width="43.85546875" style="30" bestFit="1" customWidth="1"/>
    <col min="5" max="5" width="71.28515625" style="30" bestFit="1" customWidth="1"/>
    <col min="6" max="6" width="16.28515625" style="30" bestFit="1" customWidth="1"/>
    <col min="7" max="7" width="30.85546875" style="30" bestFit="1" customWidth="1"/>
    <col min="8" max="8" width="61.42578125" style="30" bestFit="1" customWidth="1"/>
    <col min="9" max="9" width="12.85546875" style="30" bestFit="1" customWidth="1"/>
    <col min="10" max="10" width="12.140625" style="30" bestFit="1" customWidth="1"/>
    <col min="11" max="11" width="9.140625" style="30"/>
    <col min="12" max="12" width="9.28515625" style="30" bestFit="1" customWidth="1"/>
    <col min="13" max="13" width="9.140625" style="30"/>
    <col min="14" max="14" width="13.5703125" style="30" bestFit="1" customWidth="1"/>
    <col min="15" max="15" width="12.5703125" style="30" bestFit="1" customWidth="1"/>
    <col min="16" max="16" width="9.140625" style="30"/>
    <col min="17" max="17" width="27.140625" style="30" bestFit="1" customWidth="1"/>
    <col min="18" max="18" width="12.5703125" style="30" bestFit="1" customWidth="1"/>
    <col min="19" max="19" width="9.140625" style="30"/>
    <col min="20" max="20" width="12.5703125" style="30" bestFit="1" customWidth="1"/>
    <col min="21" max="21" width="9.28515625" style="30" bestFit="1" customWidth="1"/>
    <col min="22" max="22" width="10.5703125" style="30" bestFit="1" customWidth="1"/>
    <col min="23" max="23" width="9.140625" style="30"/>
    <col min="24" max="24" width="9.28515625" style="30" bestFit="1" customWidth="1"/>
    <col min="25" max="16384" width="9.140625" style="30"/>
  </cols>
  <sheetData>
    <row r="1" spans="2:22">
      <c r="C1" s="30" t="s">
        <v>148</v>
      </c>
      <c r="D1" s="30" t="s">
        <v>155</v>
      </c>
      <c r="E1" s="30" t="s">
        <v>157</v>
      </c>
      <c r="F1" s="30" t="s">
        <v>21</v>
      </c>
      <c r="G1" s="30" t="s">
        <v>22</v>
      </c>
      <c r="H1" s="30" t="s">
        <v>18</v>
      </c>
      <c r="I1" s="31">
        <v>18155.2</v>
      </c>
      <c r="M1" s="30" t="s">
        <v>137</v>
      </c>
      <c r="Q1" s="160" t="s">
        <v>140</v>
      </c>
    </row>
    <row r="2" spans="2:22">
      <c r="B2" s="30" t="s">
        <v>238</v>
      </c>
      <c r="C2" s="30">
        <f>0.376*(21807100)^0.77*I30/I28</f>
        <v>203083.73323648892</v>
      </c>
      <c r="D2" s="30" t="s">
        <v>167</v>
      </c>
      <c r="E2" s="30" t="s">
        <v>158</v>
      </c>
      <c r="F2" s="30">
        <v>37.04</v>
      </c>
      <c r="G2" s="30">
        <v>1342.27</v>
      </c>
      <c r="H2" s="30" t="s">
        <v>123</v>
      </c>
      <c r="I2" s="30">
        <v>469</v>
      </c>
      <c r="N2" s="30" t="s">
        <v>138</v>
      </c>
      <c r="O2" s="30">
        <f>11.2/I34</f>
        <v>8.4210526315789469</v>
      </c>
      <c r="Q2" s="161" t="s">
        <v>141</v>
      </c>
      <c r="R2" s="33"/>
      <c r="S2" s="162"/>
    </row>
    <row r="3" spans="2:22">
      <c r="B3" s="163" t="s">
        <v>17</v>
      </c>
      <c r="C3" s="30">
        <f>8880*5882.33^0.42*I30/I28</f>
        <v>410573.208158808</v>
      </c>
      <c r="D3" s="30" t="s">
        <v>156</v>
      </c>
      <c r="E3" s="30" t="s">
        <v>158</v>
      </c>
      <c r="H3" s="30" t="s">
        <v>271</v>
      </c>
      <c r="I3" s="31">
        <f>0-R12</f>
        <v>-26645.319144183999</v>
      </c>
      <c r="N3" s="30" t="s">
        <v>139</v>
      </c>
      <c r="O3" s="30">
        <f>R8*I18*1000</f>
        <v>214288223.76000002</v>
      </c>
      <c r="Q3" s="164" t="s">
        <v>111</v>
      </c>
      <c r="R3" s="34">
        <f>1000000*R4/R5*0.028317*24*365</f>
        <v>298483716.02076125</v>
      </c>
      <c r="S3" s="158" t="s">
        <v>142</v>
      </c>
    </row>
    <row r="4" spans="2:22">
      <c r="B4" s="30" t="s">
        <v>0</v>
      </c>
      <c r="C4" s="30">
        <v>2991000</v>
      </c>
      <c r="D4" s="41" t="s">
        <v>170</v>
      </c>
      <c r="E4" s="41" t="s">
        <v>165</v>
      </c>
      <c r="F4" s="30">
        <v>0</v>
      </c>
      <c r="G4" s="30">
        <v>4667.7700000000004</v>
      </c>
      <c r="H4" s="30" t="s">
        <v>135</v>
      </c>
      <c r="I4" s="30">
        <f>(I1/32-0.417*1155.26)*44</f>
        <v>3766.6895200000026</v>
      </c>
      <c r="Q4" s="164" t="s">
        <v>143</v>
      </c>
      <c r="R4" s="34">
        <v>556.4</v>
      </c>
      <c r="S4" s="158"/>
    </row>
    <row r="5" spans="2:22">
      <c r="B5" s="30" t="s">
        <v>1</v>
      </c>
      <c r="C5" s="30">
        <f>(32000+70*883.5^1.2)*I30/I29</f>
        <v>308040.49773225881</v>
      </c>
      <c r="D5" s="30" t="s">
        <v>160</v>
      </c>
      <c r="E5" s="30" t="s">
        <v>291</v>
      </c>
      <c r="H5" s="30" t="s">
        <v>136</v>
      </c>
      <c r="I5" s="30">
        <v>40.4</v>
      </c>
      <c r="J5" s="30" t="s">
        <v>301</v>
      </c>
      <c r="Q5" s="165" t="s">
        <v>144</v>
      </c>
      <c r="R5" s="35">
        <v>462.4</v>
      </c>
      <c r="S5" s="166"/>
    </row>
    <row r="6" spans="2:22">
      <c r="B6" s="30" t="s">
        <v>2</v>
      </c>
      <c r="C6" s="30">
        <f>(11600+34*(2177.24)^0.85)*I30/I29</f>
        <v>39579.13960512152</v>
      </c>
      <c r="D6" s="30" t="s">
        <v>161</v>
      </c>
      <c r="E6" s="30" t="s">
        <v>291</v>
      </c>
      <c r="H6" s="30" t="s">
        <v>272</v>
      </c>
      <c r="I6" s="31">
        <f>I3+G24-G21</f>
        <v>-26948.010619538221</v>
      </c>
    </row>
    <row r="7" spans="2:22">
      <c r="B7" s="30" t="s">
        <v>3</v>
      </c>
      <c r="C7" s="30">
        <f>(4*132000+70*(59.17+8.43+11+41.56)^1.2)*I30/I29</f>
        <v>622360.33097756992</v>
      </c>
      <c r="D7" s="30" t="s">
        <v>160</v>
      </c>
      <c r="E7" s="30" t="s">
        <v>292</v>
      </c>
      <c r="F7" s="30">
        <v>-44.04</v>
      </c>
      <c r="G7" s="30">
        <v>-1322.15</v>
      </c>
      <c r="H7" s="30" t="s">
        <v>23</v>
      </c>
      <c r="I7" s="30">
        <f>18/1.33</f>
        <v>13.533834586466165</v>
      </c>
      <c r="Q7" s="161" t="s">
        <v>145</v>
      </c>
      <c r="R7" s="33">
        <v>0.15</v>
      </c>
      <c r="S7" s="162"/>
    </row>
    <row r="8" spans="2:22">
      <c r="B8" s="163" t="s">
        <v>150</v>
      </c>
      <c r="C8" s="41">
        <f>(580000+20000*(12384.5/I31)^0.6)*I30/I29+(1400* ((12384.5-(18573.8-11970.5))/I31)^0.75)*I30/I28</f>
        <v>9962234.0388849266</v>
      </c>
      <c r="D8" s="30" t="s">
        <v>240</v>
      </c>
      <c r="E8" s="41" t="s">
        <v>293</v>
      </c>
      <c r="F8" s="30">
        <f>344.472+306.025+309.305</f>
        <v>959.80199999999991</v>
      </c>
      <c r="G8" s="30">
        <f>1541.91+1369.82+1384.5</f>
        <v>4296.2299999999996</v>
      </c>
      <c r="H8" s="30" t="s">
        <v>171</v>
      </c>
      <c r="I8" s="30">
        <f>(36*R11*32/78.1/1000*22)*I30/I27</f>
        <v>3.1057996768870928</v>
      </c>
      <c r="J8" s="30" t="s">
        <v>175</v>
      </c>
      <c r="Q8" s="165" t="s">
        <v>146</v>
      </c>
      <c r="R8" s="35">
        <f>0.15*R5*R3*0.0000002931/0.028317/8000</f>
        <v>26.786027970000003</v>
      </c>
      <c r="S8" s="166" t="s">
        <v>147</v>
      </c>
    </row>
    <row r="9" spans="2:22">
      <c r="B9" s="30" t="s">
        <v>5</v>
      </c>
      <c r="C9" s="30">
        <f>(8000+240*(11.07/I32)^0.9)*I30/I29</f>
        <v>11706.343500817444</v>
      </c>
      <c r="D9" s="30" t="s">
        <v>163</v>
      </c>
      <c r="E9" s="30" t="s">
        <v>291</v>
      </c>
      <c r="F9" s="30">
        <v>3.22</v>
      </c>
      <c r="G9" s="30">
        <v>14.42</v>
      </c>
      <c r="H9" s="30" t="s">
        <v>172</v>
      </c>
      <c r="I9" s="30">
        <f>(306*R11*32/1000)*I30/I27</f>
        <v>93.717505250068029</v>
      </c>
      <c r="J9" s="30" t="s">
        <v>175</v>
      </c>
    </row>
    <row r="10" spans="2:22">
      <c r="B10" s="30" t="s">
        <v>7</v>
      </c>
      <c r="C10" s="30">
        <f>(32000+70*49.83^1.2)*I30/I29</f>
        <v>44841.847292324157</v>
      </c>
      <c r="D10" s="30" t="s">
        <v>160</v>
      </c>
      <c r="E10" s="30" t="s">
        <v>291</v>
      </c>
      <c r="H10" s="30" t="s">
        <v>224</v>
      </c>
      <c r="J10" s="30" t="s">
        <v>243</v>
      </c>
      <c r="K10" s="34"/>
      <c r="L10" s="30" t="s">
        <v>244</v>
      </c>
      <c r="Q10" s="30" t="s">
        <v>173</v>
      </c>
      <c r="R10" s="167">
        <v>16723.417594269999</v>
      </c>
    </row>
    <row r="11" spans="2:22">
      <c r="B11" s="30" t="s">
        <v>6</v>
      </c>
      <c r="C11" s="30">
        <f>(32000+70*38.48^1.2)*I30/I29</f>
        <v>42541.345454125738</v>
      </c>
      <c r="D11" s="30" t="s">
        <v>160</v>
      </c>
      <c r="E11" s="30" t="s">
        <v>291</v>
      </c>
      <c r="H11" s="30" t="s">
        <v>265</v>
      </c>
      <c r="I11" s="77">
        <f>(L11/1000*(U13+U14)+L11*(0.8*U15+0.2*U16))/1000000</f>
        <v>0.40217992495950033</v>
      </c>
      <c r="J11" s="30">
        <f>R18/R19/1000*I18/V27</f>
        <v>300911.10551602399</v>
      </c>
      <c r="K11" s="34" t="s">
        <v>261</v>
      </c>
      <c r="L11" s="30">
        <f>T18/T19/1000</f>
        <v>12849.198880495216</v>
      </c>
      <c r="M11" s="30" t="s">
        <v>210</v>
      </c>
      <c r="Q11" s="30" t="s">
        <v>174</v>
      </c>
      <c r="R11" s="167">
        <v>5.4352629788556204</v>
      </c>
    </row>
    <row r="12" spans="2:22">
      <c r="B12" s="30" t="s">
        <v>8</v>
      </c>
      <c r="C12" s="30">
        <v>1842100</v>
      </c>
      <c r="D12" s="30" t="s">
        <v>164</v>
      </c>
      <c r="E12" s="41" t="s">
        <v>165</v>
      </c>
      <c r="F12" s="30">
        <f>-0.00000249*56935600</f>
        <v>-141.769644</v>
      </c>
      <c r="G12" s="30">
        <f>F12*G7/F7</f>
        <v>-4256.1474753542234</v>
      </c>
      <c r="H12" s="30" t="s">
        <v>266</v>
      </c>
      <c r="I12" s="77">
        <f>J12/1000000</f>
        <v>1.1559786280336135</v>
      </c>
      <c r="J12" s="41">
        <f>R25*X27</f>
        <v>1155978.6280336136</v>
      </c>
      <c r="K12" s="34" t="s">
        <v>31</v>
      </c>
      <c r="Q12" s="30" t="s">
        <v>182</v>
      </c>
      <c r="R12" s="30">
        <v>26645.319144183999</v>
      </c>
      <c r="T12" s="30" t="s">
        <v>244</v>
      </c>
    </row>
    <row r="13" spans="2:22">
      <c r="B13" s="30" t="s">
        <v>9</v>
      </c>
      <c r="C13" s="30">
        <f>(6*32000+70*(97.65+10.37+8.23+105.01+14.32+376.33)^1.2)*I30/I29</f>
        <v>392223.52207036357</v>
      </c>
      <c r="D13" s="30" t="s">
        <v>160</v>
      </c>
      <c r="E13" s="30" t="s">
        <v>292</v>
      </c>
      <c r="F13" s="30">
        <v>-144.49</v>
      </c>
      <c r="G13" s="30">
        <v>-4338.16</v>
      </c>
      <c r="H13" s="30" t="s">
        <v>267</v>
      </c>
      <c r="I13" s="77">
        <f>(R21*T21+R22*T22+R23*T23+R24*T24*1000)/1000000</f>
        <v>3.89806768</v>
      </c>
      <c r="J13" s="30">
        <f>R20</f>
        <v>242.84</v>
      </c>
      <c r="K13" s="34" t="s">
        <v>262</v>
      </c>
      <c r="T13" s="30" t="s">
        <v>246</v>
      </c>
      <c r="U13" s="30">
        <v>5000</v>
      </c>
      <c r="V13" s="30" t="s">
        <v>209</v>
      </c>
    </row>
    <row r="14" spans="2:22">
      <c r="B14" s="30" t="s">
        <v>10</v>
      </c>
      <c r="C14" s="41">
        <f>(11600+34*(4717.36)^0.85)*I30/I29</f>
        <v>64162.923924170325</v>
      </c>
      <c r="D14" s="30" t="s">
        <v>161</v>
      </c>
      <c r="E14" s="30" t="s">
        <v>291</v>
      </c>
      <c r="H14" s="30" t="s">
        <v>132</v>
      </c>
      <c r="I14" s="30">
        <f>FCI!C44</f>
        <v>147.94244746858783</v>
      </c>
      <c r="Q14" s="30" t="s">
        <v>198</v>
      </c>
      <c r="R14" s="30">
        <f>'BFG utility'!G4</f>
        <v>40260.699999999997</v>
      </c>
      <c r="T14" s="30" t="s">
        <v>245</v>
      </c>
      <c r="U14" s="30">
        <v>300</v>
      </c>
      <c r="V14" s="30" t="s">
        <v>209</v>
      </c>
    </row>
    <row r="15" spans="2:22">
      <c r="B15" s="163" t="s">
        <v>151</v>
      </c>
      <c r="C15" s="30">
        <f>(580000+20000*(267.855/I31)^0.6-1100+2100*(267.855/I31)^0.6)*I30/I29</f>
        <v>1527078.8685899135</v>
      </c>
      <c r="D15" s="30" t="s">
        <v>254</v>
      </c>
      <c r="E15" s="30" t="s">
        <v>291</v>
      </c>
      <c r="F15" s="30">
        <v>10.324999999999999</v>
      </c>
      <c r="G15" s="30">
        <v>46.22</v>
      </c>
      <c r="H15" s="30" t="s">
        <v>126</v>
      </c>
      <c r="I15" s="30">
        <v>30</v>
      </c>
      <c r="R15" s="30" t="s">
        <v>243</v>
      </c>
      <c r="T15" s="30" t="s">
        <v>247</v>
      </c>
      <c r="U15" s="30">
        <v>20</v>
      </c>
      <c r="V15" s="30" t="s">
        <v>222</v>
      </c>
    </row>
    <row r="16" spans="2:22">
      <c r="B16" s="30" t="s">
        <v>12</v>
      </c>
      <c r="C16" s="30">
        <f>(11600+34*(4717.36)^0.85)*I30/I29</f>
        <v>64162.923924170325</v>
      </c>
      <c r="D16" s="30" t="s">
        <v>161</v>
      </c>
      <c r="E16" s="41" t="s">
        <v>294</v>
      </c>
      <c r="H16" s="30" t="s">
        <v>127</v>
      </c>
      <c r="I16" s="30">
        <v>0.15</v>
      </c>
      <c r="Q16" s="30" t="s">
        <v>206</v>
      </c>
      <c r="R16" s="30">
        <v>3.5</v>
      </c>
      <c r="S16" s="30" t="s">
        <v>208</v>
      </c>
      <c r="T16" s="30" t="s">
        <v>248</v>
      </c>
      <c r="U16" s="30">
        <v>50</v>
      </c>
      <c r="V16" s="30" t="s">
        <v>222</v>
      </c>
    </row>
    <row r="17" spans="2:25">
      <c r="B17" s="30" t="s">
        <v>13</v>
      </c>
      <c r="C17" s="30">
        <f>42700+16500+35500+6400+126600</f>
        <v>227700</v>
      </c>
      <c r="D17" s="30" t="s">
        <v>166</v>
      </c>
      <c r="E17" s="30" t="s">
        <v>165</v>
      </c>
      <c r="F17" s="30">
        <f>102.144+61.5801</f>
        <v>163.72410000000002</v>
      </c>
      <c r="G17" s="30">
        <v>1840.49</v>
      </c>
      <c r="H17" s="30" t="s">
        <v>128</v>
      </c>
      <c r="I17" s="30">
        <f>(1-(1+I16)^-I15)/I16</f>
        <v>6.5659796367074357</v>
      </c>
      <c r="Q17" s="30" t="s">
        <v>207</v>
      </c>
      <c r="R17" s="30">
        <v>830</v>
      </c>
      <c r="S17" s="30" t="s">
        <v>209</v>
      </c>
    </row>
    <row r="18" spans="2:25">
      <c r="B18" s="163" t="s">
        <v>16</v>
      </c>
      <c r="C18" s="30">
        <f>0.367*4366890^0.77*I30/I28</f>
        <v>57459.996784223928</v>
      </c>
      <c r="D18" s="30" t="s">
        <v>167</v>
      </c>
      <c r="E18" s="30" t="s">
        <v>158</v>
      </c>
      <c r="F18" s="30">
        <v>-11.47</v>
      </c>
      <c r="G18" s="30">
        <v>-302.94400000000002</v>
      </c>
      <c r="H18" s="30" t="s">
        <v>129</v>
      </c>
      <c r="I18" s="30">
        <v>8000</v>
      </c>
      <c r="Q18" s="30" t="s">
        <v>260</v>
      </c>
      <c r="R18" s="163">
        <v>112841664.568509</v>
      </c>
      <c r="S18" s="30" t="s">
        <v>211</v>
      </c>
      <c r="T18" s="163">
        <v>112841664.568509</v>
      </c>
      <c r="U18" s="30" t="s">
        <v>211</v>
      </c>
    </row>
    <row r="19" spans="2:25">
      <c r="B19" s="163" t="s">
        <v>152</v>
      </c>
      <c r="C19" s="30">
        <f>(580000+20000*(11970/I31)^0.6)*I30/I29</f>
        <v>8369533.6035469705</v>
      </c>
      <c r="D19" s="30" t="s">
        <v>162</v>
      </c>
      <c r="E19" s="30" t="s">
        <v>291</v>
      </c>
      <c r="F19" s="30">
        <f>294.047+315.904+317.765</f>
        <v>927.71600000000001</v>
      </c>
      <c r="G19" s="30">
        <f>1316.2+1414.04+1422.37</f>
        <v>4152.6099999999997</v>
      </c>
      <c r="Q19" s="30" t="s">
        <v>213</v>
      </c>
      <c r="R19" s="30">
        <v>0.75</v>
      </c>
      <c r="S19" s="30" t="s">
        <v>214</v>
      </c>
      <c r="T19" s="30">
        <f>43.91/1000*60/0.3</f>
        <v>8.782</v>
      </c>
      <c r="U19" s="30" t="s">
        <v>214</v>
      </c>
    </row>
    <row r="20" spans="2:25">
      <c r="B20" s="30" t="s">
        <v>15</v>
      </c>
      <c r="C20" s="30">
        <v>9468600</v>
      </c>
      <c r="D20" s="30" t="s">
        <v>168</v>
      </c>
      <c r="E20" s="30" t="s">
        <v>165</v>
      </c>
      <c r="F20" s="30">
        <v>-1439.47</v>
      </c>
      <c r="G20" s="30">
        <v>-6443.3</v>
      </c>
      <c r="H20" s="30" t="s">
        <v>225</v>
      </c>
      <c r="I20" s="30">
        <f>'Maintenance &amp; Operations cost'!H39</f>
        <v>37.708462754877203</v>
      </c>
      <c r="Q20" s="52" t="s">
        <v>215</v>
      </c>
      <c r="R20" s="163">
        <v>242.84</v>
      </c>
      <c r="S20" s="30" t="s">
        <v>216</v>
      </c>
      <c r="T20" s="30" t="s">
        <v>217</v>
      </c>
      <c r="V20" s="30" t="s">
        <v>223</v>
      </c>
    </row>
    <row r="21" spans="2:25">
      <c r="B21" s="30" t="s">
        <v>200</v>
      </c>
      <c r="F21" s="30">
        <v>0</v>
      </c>
      <c r="G21" s="30">
        <f>'BFG utility'!G4</f>
        <v>40260.699999999997</v>
      </c>
      <c r="H21" s="30" t="s">
        <v>226</v>
      </c>
      <c r="I21" s="30">
        <f>(I2*I1/1000*I18+I7*(-I6)*I18/1000-O3*O2/100)/1000000</f>
        <v>52.990665639168057</v>
      </c>
      <c r="Q21" s="30" t="s">
        <v>218</v>
      </c>
      <c r="R21" s="30">
        <f>R20*0.55</f>
        <v>133.56200000000001</v>
      </c>
      <c r="S21" s="30" t="s">
        <v>216</v>
      </c>
      <c r="T21" s="30">
        <v>9600</v>
      </c>
      <c r="U21" s="30" t="s">
        <v>209</v>
      </c>
      <c r="V21" s="30">
        <f>T21*R21</f>
        <v>1282195.2000000002</v>
      </c>
    </row>
    <row r="22" spans="2:25">
      <c r="B22" s="30" t="s">
        <v>269</v>
      </c>
      <c r="C22" s="30">
        <f>I11+I12+I13</f>
        <v>5.4562262329931137</v>
      </c>
      <c r="H22" s="30" t="s">
        <v>133</v>
      </c>
      <c r="I22" s="78">
        <f>I17*(I21-I20)-I14</f>
        <v>-47.599814526302438</v>
      </c>
      <c r="Q22" s="30" t="s">
        <v>219</v>
      </c>
      <c r="R22" s="30">
        <f>R20*0.36</f>
        <v>87.422399999999996</v>
      </c>
      <c r="S22" s="30" t="s">
        <v>216</v>
      </c>
      <c r="T22" s="30">
        <v>300</v>
      </c>
      <c r="U22" s="30" t="s">
        <v>209</v>
      </c>
      <c r="V22" s="30">
        <f>T22*R22</f>
        <v>26226.719999999998</v>
      </c>
    </row>
    <row r="23" spans="2:25">
      <c r="B23" s="30" t="s">
        <v>270</v>
      </c>
      <c r="C23" s="30">
        <f>I8+I5*I4/1000/1000000</f>
        <v>3.105951851143701</v>
      </c>
      <c r="H23" s="30" t="s">
        <v>134</v>
      </c>
      <c r="I23" s="78">
        <f>I14/(I21-I20)</f>
        <v>9.6807017017594621</v>
      </c>
      <c r="Q23" s="30" t="s">
        <v>220</v>
      </c>
      <c r="R23" s="30">
        <f>R20*0.8</f>
        <v>194.27200000000002</v>
      </c>
      <c r="S23" s="30" t="s">
        <v>216</v>
      </c>
      <c r="T23" s="30">
        <v>830</v>
      </c>
      <c r="U23" s="30" t="s">
        <v>209</v>
      </c>
      <c r="V23" s="30">
        <f>T23*R23</f>
        <v>161245.76000000001</v>
      </c>
    </row>
    <row r="24" spans="2:25" ht="15.75" thickBot="1">
      <c r="B24" s="30" t="s">
        <v>19</v>
      </c>
      <c r="C24" s="31">
        <f>SUM(C2:C23)/1000000</f>
        <v>36.648990885860336</v>
      </c>
      <c r="D24" s="31"/>
      <c r="E24" s="31"/>
      <c r="F24" s="31">
        <f>SUM(F2:F21)+I9</f>
        <v>414.304961250068</v>
      </c>
      <c r="G24" s="31">
        <f>SUM(G2:G21)</f>
        <v>39958.008524645775</v>
      </c>
      <c r="H24" s="30" t="s">
        <v>184</v>
      </c>
      <c r="I24" s="78">
        <f>(I2*I1/1000*I18-O3*O2/100)/1000000</f>
        <v>50.072986293894736</v>
      </c>
      <c r="Q24" s="30" t="s">
        <v>221</v>
      </c>
      <c r="R24" s="30">
        <f>R20*0.1</f>
        <v>24.284000000000002</v>
      </c>
      <c r="S24" s="30" t="s">
        <v>216</v>
      </c>
      <c r="T24" s="30">
        <v>100</v>
      </c>
      <c r="U24" s="30" t="s">
        <v>222</v>
      </c>
      <c r="V24" s="30">
        <f>T24*R24*1000</f>
        <v>2428400</v>
      </c>
    </row>
    <row r="25" spans="2:25" ht="15.75" thickBot="1">
      <c r="H25" s="30" t="s">
        <v>183</v>
      </c>
      <c r="I25" s="78">
        <f>(0-I22*1000000)/(I15*I18*(-I6)/1000)</f>
        <v>7.3598219670606166</v>
      </c>
      <c r="Q25" s="169" t="s">
        <v>227</v>
      </c>
      <c r="R25" s="54">
        <v>1000</v>
      </c>
      <c r="S25" s="54" t="s">
        <v>209</v>
      </c>
      <c r="T25" s="54">
        <v>5.24</v>
      </c>
      <c r="U25" s="54" t="s">
        <v>234</v>
      </c>
      <c r="V25" s="54" t="s">
        <v>235</v>
      </c>
      <c r="W25" s="54"/>
      <c r="X25" s="54">
        <v>0.1</v>
      </c>
      <c r="Y25" s="55" t="s">
        <v>233</v>
      </c>
    </row>
    <row r="26" spans="2:25">
      <c r="H26" s="169" t="s">
        <v>92</v>
      </c>
      <c r="I26" s="55"/>
      <c r="Q26" s="151" t="s">
        <v>228</v>
      </c>
      <c r="R26" s="34">
        <v>158.4</v>
      </c>
      <c r="S26" s="34" t="s">
        <v>229</v>
      </c>
      <c r="T26" s="34">
        <f>V26*X26</f>
        <v>7140000</v>
      </c>
      <c r="U26" s="34" t="s">
        <v>242</v>
      </c>
      <c r="V26" s="34">
        <v>28000</v>
      </c>
      <c r="W26" s="34" t="s">
        <v>241</v>
      </c>
      <c r="X26" s="34">
        <v>255</v>
      </c>
      <c r="Y26" s="56" t="s">
        <v>230</v>
      </c>
    </row>
    <row r="27" spans="2:25" ht="15.75" thickBot="1">
      <c r="H27" s="151">
        <v>1988</v>
      </c>
      <c r="I27" s="56">
        <v>342.5</v>
      </c>
      <c r="Q27" s="152" t="s">
        <v>232</v>
      </c>
      <c r="R27" s="57">
        <f>R26*T27/T26</f>
        <v>245.11845378151261</v>
      </c>
      <c r="S27" s="57" t="s">
        <v>229</v>
      </c>
      <c r="T27" s="170">
        <v>11048900</v>
      </c>
      <c r="U27" s="57" t="s">
        <v>242</v>
      </c>
      <c r="V27" s="57">
        <v>4000</v>
      </c>
      <c r="W27" s="57" t="s">
        <v>231</v>
      </c>
      <c r="X27" s="57">
        <f>R27*T25*(1-X25)</f>
        <v>1155.9786280336136</v>
      </c>
      <c r="Y27" s="58" t="s">
        <v>268</v>
      </c>
    </row>
    <row r="28" spans="2:25">
      <c r="H28" s="151">
        <v>2006</v>
      </c>
      <c r="I28" s="56">
        <v>499.6</v>
      </c>
    </row>
    <row r="29" spans="2:25">
      <c r="H29" s="151">
        <v>2010</v>
      </c>
      <c r="I29" s="56">
        <v>532.9</v>
      </c>
    </row>
    <row r="30" spans="2:25" ht="15.75" thickBot="1">
      <c r="H30" s="152">
        <v>2018</v>
      </c>
      <c r="I30" s="58">
        <v>603.1</v>
      </c>
    </row>
    <row r="31" spans="2:25">
      <c r="H31" s="89" t="s">
        <v>154</v>
      </c>
      <c r="I31" s="30">
        <v>0.72</v>
      </c>
    </row>
    <row r="32" spans="2:25">
      <c r="H32" s="89" t="s">
        <v>153</v>
      </c>
      <c r="I32" s="30">
        <v>0.88</v>
      </c>
    </row>
    <row r="33" spans="8:9">
      <c r="H33" s="30" t="s">
        <v>279</v>
      </c>
      <c r="I33" s="30">
        <v>1.27</v>
      </c>
    </row>
    <row r="34" spans="8:9">
      <c r="H34" s="30" t="s">
        <v>302</v>
      </c>
      <c r="I34" s="30">
        <v>1.33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4"/>
  <sheetViews>
    <sheetView workbookViewId="0">
      <selection activeCell="C3" sqref="C3"/>
    </sheetView>
  </sheetViews>
  <sheetFormatPr defaultRowHeight="15"/>
  <cols>
    <col min="1" max="1" width="9.140625" style="30"/>
    <col min="2" max="2" width="35.5703125" style="30" bestFit="1" customWidth="1"/>
    <col min="3" max="5" width="27.85546875" style="30" customWidth="1"/>
    <col min="6" max="6" width="16.28515625" style="30" bestFit="1" customWidth="1"/>
    <col min="7" max="7" width="30.85546875" style="30" bestFit="1" customWidth="1"/>
    <col min="8" max="8" width="61.42578125" style="30" bestFit="1" customWidth="1"/>
    <col min="9" max="9" width="22.5703125" style="30" bestFit="1" customWidth="1"/>
    <col min="10" max="10" width="10.5703125" style="30" bestFit="1" customWidth="1"/>
    <col min="11" max="11" width="9.140625" style="30"/>
    <col min="12" max="12" width="9.28515625" style="30" bestFit="1" customWidth="1"/>
    <col min="13" max="14" width="9.140625" style="30"/>
    <col min="15" max="15" width="15.42578125" style="30" bestFit="1" customWidth="1"/>
    <col min="16" max="16" width="9.140625" style="30"/>
    <col min="17" max="17" width="38.140625" style="30" bestFit="1" customWidth="1"/>
    <col min="18" max="18" width="12.5703125" style="30" bestFit="1" customWidth="1"/>
    <col min="19" max="19" width="9.140625" style="30"/>
    <col min="20" max="20" width="12.5703125" style="30" bestFit="1" customWidth="1"/>
    <col min="21" max="21" width="9.28515625" style="30" bestFit="1" customWidth="1"/>
    <col min="22" max="22" width="10.5703125" style="30" bestFit="1" customWidth="1"/>
    <col min="23" max="23" width="9.140625" style="30"/>
    <col min="24" max="24" width="9.28515625" style="30" bestFit="1" customWidth="1"/>
    <col min="25" max="25" width="11.85546875" style="30" bestFit="1" customWidth="1"/>
    <col min="26" max="16384" width="9.140625" style="30"/>
  </cols>
  <sheetData>
    <row r="1" spans="1:23">
      <c r="A1" s="168" t="s">
        <v>194</v>
      </c>
      <c r="C1" s="30" t="s">
        <v>148</v>
      </c>
      <c r="D1" s="30" t="s">
        <v>155</v>
      </c>
      <c r="E1" s="30" t="s">
        <v>157</v>
      </c>
      <c r="F1" s="30" t="s">
        <v>21</v>
      </c>
      <c r="G1" s="30" t="s">
        <v>22</v>
      </c>
      <c r="H1" s="30" t="s">
        <v>18</v>
      </c>
      <c r="I1" s="31">
        <v>22505.615864166</v>
      </c>
      <c r="M1" s="30" t="s">
        <v>137</v>
      </c>
      <c r="Q1" s="160" t="s">
        <v>140</v>
      </c>
    </row>
    <row r="2" spans="1:23">
      <c r="B2" s="30" t="s">
        <v>238</v>
      </c>
      <c r="C2" s="30">
        <f>0.367*28153646.57^0.77*I30/I28</f>
        <v>241309.62617696292</v>
      </c>
      <c r="D2" s="30" t="s">
        <v>167</v>
      </c>
      <c r="E2" s="30" t="s">
        <v>158</v>
      </c>
      <c r="F2" s="30">
        <v>47.823</v>
      </c>
      <c r="G2" s="30">
        <v>1732.91</v>
      </c>
      <c r="H2" s="30" t="s">
        <v>123</v>
      </c>
      <c r="I2" s="30">
        <v>496</v>
      </c>
      <c r="N2" s="30" t="s">
        <v>138</v>
      </c>
      <c r="O2" s="30">
        <f>11.2/I34</f>
        <v>8.4210526315789469</v>
      </c>
      <c r="Q2" s="161" t="s">
        <v>141</v>
      </c>
      <c r="R2" s="33"/>
      <c r="S2" s="162"/>
      <c r="U2" s="30" t="s">
        <v>259</v>
      </c>
      <c r="V2" s="30">
        <v>565083.48</v>
      </c>
      <c r="W2" s="30" t="s">
        <v>196</v>
      </c>
    </row>
    <row r="3" spans="1:23">
      <c r="B3" s="163" t="s">
        <v>17</v>
      </c>
      <c r="C3" s="30">
        <f>8880*7323.54^0.42*I30/I28</f>
        <v>450155.65357400099</v>
      </c>
      <c r="D3" s="30" t="s">
        <v>156</v>
      </c>
      <c r="E3" s="30" t="s">
        <v>158</v>
      </c>
      <c r="H3" s="30" t="s">
        <v>271</v>
      </c>
      <c r="I3" s="31">
        <f>0-R12</f>
        <v>-26645.319144183999</v>
      </c>
      <c r="N3" s="30" t="s">
        <v>139</v>
      </c>
      <c r="O3" s="30">
        <f>R8*I18*1000</f>
        <v>214288223.76000002</v>
      </c>
      <c r="Q3" s="164" t="s">
        <v>111</v>
      </c>
      <c r="R3" s="34">
        <f>1000000*R4/R5*0.028317*24*365</f>
        <v>298483716.02076125</v>
      </c>
      <c r="S3" s="158" t="s">
        <v>142</v>
      </c>
    </row>
    <row r="4" spans="1:23">
      <c r="B4" s="30" t="s">
        <v>0</v>
      </c>
      <c r="C4" s="30">
        <v>3170800</v>
      </c>
      <c r="D4" s="41" t="s">
        <v>170</v>
      </c>
      <c r="E4" s="41" t="s">
        <v>165</v>
      </c>
      <c r="F4" s="30">
        <v>0</v>
      </c>
      <c r="G4" s="30">
        <v>40260.699999999997</v>
      </c>
      <c r="H4" s="30" t="s">
        <v>135</v>
      </c>
      <c r="I4" s="31">
        <f>(I1/32-0.417*1432.94)*44</f>
        <v>4653.6386932282512</v>
      </c>
      <c r="Q4" s="164" t="s">
        <v>143</v>
      </c>
      <c r="R4" s="34">
        <v>556.4</v>
      </c>
      <c r="S4" s="158"/>
    </row>
    <row r="5" spans="1:23">
      <c r="B5" s="30" t="s">
        <v>1</v>
      </c>
      <c r="C5" s="30">
        <f>(32000+70*1122.31^1.2)*I30/I29</f>
        <v>398439.27925246797</v>
      </c>
      <c r="D5" s="30" t="s">
        <v>160</v>
      </c>
      <c r="E5" s="30" t="s">
        <v>291</v>
      </c>
      <c r="H5" s="30" t="s">
        <v>136</v>
      </c>
      <c r="I5" s="30">
        <v>40.4</v>
      </c>
      <c r="J5" s="30" t="s">
        <v>301</v>
      </c>
      <c r="Q5" s="165" t="s">
        <v>144</v>
      </c>
      <c r="R5" s="35">
        <v>462.4</v>
      </c>
      <c r="S5" s="166"/>
    </row>
    <row r="6" spans="1:23">
      <c r="B6" s="30" t="s">
        <v>2</v>
      </c>
      <c r="C6" s="30">
        <f>(11600+34*2540.12^0.85)*I30/I29</f>
        <v>43282.348034478993</v>
      </c>
      <c r="D6" s="30" t="s">
        <v>161</v>
      </c>
      <c r="E6" s="30" t="s">
        <v>291</v>
      </c>
      <c r="H6" s="30" t="s">
        <v>272</v>
      </c>
      <c r="I6" s="31">
        <f>G24+I3-G4</f>
        <v>-24729.772912257551</v>
      </c>
    </row>
    <row r="7" spans="1:23">
      <c r="B7" s="30" t="s">
        <v>3</v>
      </c>
      <c r="C7" s="30">
        <f>(4*32000+70*(49.59+52.33+8.07+68.96)^1.2)*I30/I29</f>
        <v>184867.19909978251</v>
      </c>
      <c r="D7" s="30" t="s">
        <v>160</v>
      </c>
      <c r="E7" s="30" t="s">
        <v>292</v>
      </c>
      <c r="F7" s="30">
        <v>-55.47</v>
      </c>
      <c r="G7" s="30">
        <v>-1665.46</v>
      </c>
      <c r="H7" s="30" t="s">
        <v>23</v>
      </c>
      <c r="I7" s="30">
        <f>18/1.33</f>
        <v>13.533834586466165</v>
      </c>
      <c r="Q7" s="161" t="s">
        <v>145</v>
      </c>
      <c r="R7" s="33">
        <v>0.15</v>
      </c>
      <c r="S7" s="162"/>
    </row>
    <row r="8" spans="1:23">
      <c r="B8" s="30" t="s">
        <v>4</v>
      </c>
      <c r="C8" s="30">
        <f>(580000+20000*(15485.5/I31)^0.6)*I30/I29+(1400*((15485.5-(23036.7-14792.3))/I31)^0.75)*I30/I28</f>
        <v>11355464.538527446</v>
      </c>
      <c r="D8" s="30" t="s">
        <v>240</v>
      </c>
      <c r="E8" s="41" t="s">
        <v>293</v>
      </c>
      <c r="F8" s="30">
        <f>432.715+381.681+385.729</f>
        <v>1200.125</v>
      </c>
      <c r="G8" s="30">
        <f>1936.91+1708.47+1726.59</f>
        <v>5371.97</v>
      </c>
      <c r="H8" s="30" t="s">
        <v>171</v>
      </c>
      <c r="I8" s="30">
        <f>(36*R11*32/78.1/1000*22)*I30/I27</f>
        <v>3.1057996768870928</v>
      </c>
      <c r="J8" s="30" t="s">
        <v>175</v>
      </c>
      <c r="Q8" s="165" t="s">
        <v>146</v>
      </c>
      <c r="R8" s="35">
        <f>0.15*R5*R3*0.0000002931/0.028317/8000</f>
        <v>26.786027970000003</v>
      </c>
      <c r="S8" s="166" t="s">
        <v>147</v>
      </c>
    </row>
    <row r="9" spans="1:23">
      <c r="B9" s="30" t="s">
        <v>5</v>
      </c>
      <c r="C9" s="30">
        <f>(8000+240*(13.544/I32)^0.9)*I30/I29</f>
        <v>12234.336453565069</v>
      </c>
      <c r="D9" s="30" t="s">
        <v>163</v>
      </c>
      <c r="E9" s="30" t="s">
        <v>291</v>
      </c>
      <c r="F9" s="30">
        <v>3.9409999999999998</v>
      </c>
      <c r="G9" s="30">
        <v>17.6403</v>
      </c>
      <c r="H9" s="30" t="s">
        <v>172</v>
      </c>
      <c r="I9" s="30">
        <f>(306*R11*32/1000)*I30/I27</f>
        <v>93.717505250068029</v>
      </c>
      <c r="J9" s="30" t="s">
        <v>175</v>
      </c>
    </row>
    <row r="10" spans="1:23">
      <c r="B10" s="30" t="s">
        <v>7</v>
      </c>
      <c r="C10" s="30">
        <f>(32000+70*60.9^1.2)*I30/I29</f>
        <v>47189.865815075151</v>
      </c>
      <c r="D10" s="30" t="s">
        <v>160</v>
      </c>
      <c r="E10" s="30" t="s">
        <v>291</v>
      </c>
      <c r="H10" s="30" t="s">
        <v>224</v>
      </c>
      <c r="J10" s="30" t="s">
        <v>243</v>
      </c>
      <c r="K10" s="34"/>
      <c r="L10" s="30" t="s">
        <v>244</v>
      </c>
      <c r="Q10" s="30" t="s">
        <v>173</v>
      </c>
      <c r="R10" s="167">
        <v>16723.417594269999</v>
      </c>
    </row>
    <row r="11" spans="1:23">
      <c r="B11" s="30" t="s">
        <v>6</v>
      </c>
      <c r="C11" s="30">
        <f>(32000+70*49.53^1.2)*I30/I29</f>
        <v>44779.562738049201</v>
      </c>
      <c r="D11" s="30" t="s">
        <v>160</v>
      </c>
      <c r="E11" s="30" t="s">
        <v>291</v>
      </c>
      <c r="H11" s="30" t="s">
        <v>265</v>
      </c>
      <c r="I11" s="77">
        <f>(L11/1000*(U13+U14)+L11*(0.8*U15+0.2*U16))/1000000</f>
        <v>0.50758612959966098</v>
      </c>
      <c r="J11" s="30">
        <f>R18/R19/1000*I18/V27</f>
        <v>379776.05027852795</v>
      </c>
      <c r="K11" s="34" t="s">
        <v>261</v>
      </c>
      <c r="L11" s="30">
        <f>T18/T19/1000</f>
        <v>16216.809252385334</v>
      </c>
      <c r="M11" s="30" t="s">
        <v>210</v>
      </c>
      <c r="Q11" s="30" t="s">
        <v>174</v>
      </c>
      <c r="R11" s="167">
        <v>5.4352629788556204</v>
      </c>
    </row>
    <row r="12" spans="1:23">
      <c r="B12" s="30" t="s">
        <v>8</v>
      </c>
      <c r="C12" s="30">
        <v>1906200</v>
      </c>
      <c r="D12" s="30" t="s">
        <v>164</v>
      </c>
      <c r="E12" s="41" t="s">
        <v>165</v>
      </c>
      <c r="F12" s="30">
        <f>-70561900*0.00000246</f>
        <v>-173.58227400000001</v>
      </c>
      <c r="G12" s="30">
        <f>F12*G7/F7</f>
        <v>-5211.724068073554</v>
      </c>
      <c r="H12" s="30" t="s">
        <v>266</v>
      </c>
      <c r="I12" s="77">
        <f>J12/1000000</f>
        <v>1.1559786280336135</v>
      </c>
      <c r="J12" s="41">
        <f>R25*X27</f>
        <v>1155978.6280336136</v>
      </c>
      <c r="K12" s="34" t="s">
        <v>31</v>
      </c>
      <c r="Q12" s="30" t="s">
        <v>182</v>
      </c>
      <c r="R12" s="30">
        <v>26645.319144183999</v>
      </c>
      <c r="T12" s="30" t="s">
        <v>244</v>
      </c>
    </row>
    <row r="13" spans="1:23">
      <c r="B13" s="30" t="s">
        <v>9</v>
      </c>
      <c r="C13" s="30">
        <f>(6*32000+70*(235.9+36.77+16.02+134.15+14.24+485.603)^1.2)*I30/I29</f>
        <v>503647.48452293983</v>
      </c>
      <c r="D13" s="30" t="s">
        <v>160</v>
      </c>
      <c r="E13" s="30" t="s">
        <v>292</v>
      </c>
      <c r="F13" s="45">
        <v>-182.261</v>
      </c>
      <c r="G13" s="45">
        <v>-5472.23</v>
      </c>
      <c r="H13" s="30" t="s">
        <v>267</v>
      </c>
      <c r="I13" s="77">
        <f>(R21*T21+R22*T22+R23*T23+R24*T24*1000)/1000000</f>
        <v>3.89806768</v>
      </c>
      <c r="J13" s="30">
        <f>R20</f>
        <v>242.84</v>
      </c>
      <c r="K13" s="34" t="s">
        <v>262</v>
      </c>
      <c r="T13" s="30" t="s">
        <v>246</v>
      </c>
      <c r="U13" s="30">
        <v>5000</v>
      </c>
      <c r="V13" s="30" t="s">
        <v>209</v>
      </c>
    </row>
    <row r="14" spans="1:23">
      <c r="B14" s="30" t="s">
        <v>10</v>
      </c>
      <c r="C14" s="30">
        <f>(11600+34*5715.264^0.85)*I30/I29</f>
        <v>73204.419195224793</v>
      </c>
      <c r="D14" s="30" t="s">
        <v>161</v>
      </c>
      <c r="E14" s="30" t="s">
        <v>291</v>
      </c>
      <c r="H14" s="30" t="s">
        <v>132</v>
      </c>
      <c r="I14" s="30">
        <f>FCI!E44</f>
        <v>165.63618519901624</v>
      </c>
      <c r="Q14" s="30" t="s">
        <v>198</v>
      </c>
      <c r="R14" s="30">
        <f>'BFG utility'!G4</f>
        <v>40260.699999999997</v>
      </c>
      <c r="T14" s="30" t="s">
        <v>245</v>
      </c>
      <c r="U14" s="30">
        <v>300</v>
      </c>
      <c r="V14" s="30" t="s">
        <v>209</v>
      </c>
    </row>
    <row r="15" spans="1:23">
      <c r="B15" s="30" t="s">
        <v>11</v>
      </c>
      <c r="C15" s="30">
        <f>(580000+20000*(337.9/I31)^0.6-1100+2100*(337.9/I31)^0.6)*I30/I29</f>
        <v>1657486.3731703218</v>
      </c>
      <c r="D15" s="30" t="s">
        <v>254</v>
      </c>
      <c r="E15" s="30" t="s">
        <v>291</v>
      </c>
      <c r="F15" s="30">
        <v>16.52</v>
      </c>
      <c r="G15" s="30">
        <v>73.930000000000007</v>
      </c>
      <c r="H15" s="30" t="s">
        <v>126</v>
      </c>
      <c r="I15" s="30">
        <v>30</v>
      </c>
      <c r="R15" s="30" t="s">
        <v>243</v>
      </c>
      <c r="T15" s="30" t="s">
        <v>247</v>
      </c>
      <c r="U15" s="30">
        <v>20</v>
      </c>
      <c r="V15" s="30" t="s">
        <v>222</v>
      </c>
    </row>
    <row r="16" spans="1:23">
      <c r="B16" s="30" t="s">
        <v>12</v>
      </c>
      <c r="C16" s="30">
        <f>(11600+34*5942.06^0.85)*I30/I29</f>
        <v>75224.860495689791</v>
      </c>
      <c r="D16" s="30" t="s">
        <v>161</v>
      </c>
      <c r="E16" s="41" t="s">
        <v>294</v>
      </c>
      <c r="H16" s="30" t="s">
        <v>127</v>
      </c>
      <c r="I16" s="30">
        <v>0.15</v>
      </c>
      <c r="Q16" s="30" t="s">
        <v>206</v>
      </c>
      <c r="R16" s="30">
        <v>3.5</v>
      </c>
      <c r="S16" s="30" t="s">
        <v>208</v>
      </c>
      <c r="T16" s="30" t="s">
        <v>248</v>
      </c>
      <c r="U16" s="30">
        <v>50</v>
      </c>
      <c r="V16" s="30" t="s">
        <v>222</v>
      </c>
    </row>
    <row r="17" spans="2:25">
      <c r="B17" s="30" t="s">
        <v>13</v>
      </c>
      <c r="C17" s="45">
        <v>263100</v>
      </c>
      <c r="D17" s="30" t="s">
        <v>166</v>
      </c>
      <c r="E17" s="30" t="s">
        <v>165</v>
      </c>
      <c r="F17" s="30">
        <f>126.654+76.478</f>
        <v>203.13200000000001</v>
      </c>
      <c r="G17" s="30">
        <v>2285.75</v>
      </c>
      <c r="H17" s="30" t="s">
        <v>128</v>
      </c>
      <c r="I17" s="30">
        <f>(1-(1+I16)^-I15)/I16</f>
        <v>6.5659796367074357</v>
      </c>
      <c r="Q17" s="30" t="s">
        <v>207</v>
      </c>
      <c r="R17" s="30">
        <v>830</v>
      </c>
      <c r="S17" s="30" t="s">
        <v>209</v>
      </c>
    </row>
    <row r="18" spans="2:25">
      <c r="B18" s="163" t="s">
        <v>16</v>
      </c>
      <c r="C18" s="30">
        <f>0.367*5922760^0.77*I30/I28</f>
        <v>72656.846887078282</v>
      </c>
      <c r="D18" s="30" t="s">
        <v>167</v>
      </c>
      <c r="E18" s="30" t="s">
        <v>158</v>
      </c>
      <c r="F18" s="30">
        <v>-15.56</v>
      </c>
      <c r="G18" s="30">
        <v>-410.88</v>
      </c>
      <c r="H18" s="30" t="s">
        <v>129</v>
      </c>
      <c r="I18" s="30">
        <v>8000</v>
      </c>
      <c r="Q18" s="30" t="s">
        <v>212</v>
      </c>
      <c r="R18" s="163">
        <v>142416018.85444799</v>
      </c>
      <c r="S18" s="30" t="s">
        <v>211</v>
      </c>
      <c r="T18" s="163">
        <v>142416018.85444799</v>
      </c>
      <c r="U18" s="30" t="s">
        <v>211</v>
      </c>
    </row>
    <row r="19" spans="2:25">
      <c r="B19" s="30" t="s">
        <v>14</v>
      </c>
      <c r="C19" s="30">
        <f>(580000+20000*(14792.3/I31)^0.6)*I30/I29</f>
        <v>9414214.7948001586</v>
      </c>
      <c r="D19" s="30" t="s">
        <v>162</v>
      </c>
      <c r="E19" s="30" t="s">
        <v>291</v>
      </c>
      <c r="F19" s="30">
        <f>363.363+390.372+392.671</f>
        <v>1146.4059999999999</v>
      </c>
      <c r="G19" s="30">
        <f>1626.47+1747.37+1757.66</f>
        <v>5131.5</v>
      </c>
      <c r="Q19" s="30" t="s">
        <v>213</v>
      </c>
      <c r="R19" s="30">
        <v>0.75</v>
      </c>
      <c r="S19" s="30" t="s">
        <v>214</v>
      </c>
      <c r="T19" s="30">
        <f>43.91/1000*60/0.3</f>
        <v>8.782</v>
      </c>
      <c r="U19" s="30" t="s">
        <v>214</v>
      </c>
    </row>
    <row r="20" spans="2:25">
      <c r="B20" s="30" t="s">
        <v>15</v>
      </c>
      <c r="C20" s="45">
        <v>11117900</v>
      </c>
      <c r="D20" s="30" t="s">
        <v>168</v>
      </c>
      <c r="E20" s="30" t="s">
        <v>165</v>
      </c>
      <c r="F20" s="30">
        <v>-1785.34</v>
      </c>
      <c r="G20" s="30">
        <v>-7991.5</v>
      </c>
      <c r="H20" s="30" t="s">
        <v>131</v>
      </c>
      <c r="I20" s="30">
        <f>'Maintenance &amp; Operations cost'!J39</f>
        <v>45.971963779262424</v>
      </c>
      <c r="Q20" s="52" t="s">
        <v>215</v>
      </c>
      <c r="R20" s="163">
        <v>242.84</v>
      </c>
      <c r="S20" s="30" t="s">
        <v>216</v>
      </c>
      <c r="T20" s="30" t="s">
        <v>217</v>
      </c>
      <c r="V20" s="30" t="s">
        <v>223</v>
      </c>
    </row>
    <row r="21" spans="2:25">
      <c r="B21" s="30" t="s">
        <v>25</v>
      </c>
      <c r="F21" s="30">
        <f>'NG utility'!F4</f>
        <v>222.255</v>
      </c>
      <c r="G21" s="30">
        <f>'NG utility'!G4</f>
        <v>8053.64</v>
      </c>
      <c r="H21" s="30" t="s">
        <v>130</v>
      </c>
      <c r="I21" s="30">
        <f>(I2*I1/1000*I18+I7*(-I6)*I18/1000-O3*O2/100)/1000000</f>
        <v>73.934468890548331</v>
      </c>
      <c r="Q21" s="30" t="s">
        <v>218</v>
      </c>
      <c r="R21" s="30">
        <f>R20*0.55</f>
        <v>133.56200000000001</v>
      </c>
      <c r="S21" s="30" t="s">
        <v>216</v>
      </c>
      <c r="T21" s="30">
        <v>9600</v>
      </c>
      <c r="U21" s="30" t="s">
        <v>209</v>
      </c>
      <c r="V21" s="30">
        <f>T21*R21</f>
        <v>1282195.2000000002</v>
      </c>
    </row>
    <row r="22" spans="2:25">
      <c r="B22" s="30" t="s">
        <v>269</v>
      </c>
      <c r="C22" s="30">
        <f>I11+I12+I13</f>
        <v>5.5616324376332749</v>
      </c>
      <c r="H22" s="30" t="s">
        <v>133</v>
      </c>
      <c r="I22" s="78">
        <f>I17*(I21-I20)-I14</f>
        <v>17.965053953014603</v>
      </c>
      <c r="Q22" s="30" t="s">
        <v>219</v>
      </c>
      <c r="R22" s="30">
        <f>R20*0.36</f>
        <v>87.422399999999996</v>
      </c>
      <c r="S22" s="30" t="s">
        <v>216</v>
      </c>
      <c r="T22" s="30">
        <v>300</v>
      </c>
      <c r="U22" s="30" t="s">
        <v>209</v>
      </c>
      <c r="V22" s="30">
        <f>T22*R22</f>
        <v>26226.719999999998</v>
      </c>
    </row>
    <row r="23" spans="2:25">
      <c r="B23" s="30" t="s">
        <v>270</v>
      </c>
      <c r="C23" s="30">
        <f>I8+I5*I4/1000/1000000</f>
        <v>3.1059876838902993</v>
      </c>
      <c r="H23" s="30" t="s">
        <v>134</v>
      </c>
      <c r="I23" s="78">
        <f>I14/(I21-I20)</f>
        <v>5.9235102341443673</v>
      </c>
      <c r="Q23" s="30" t="s">
        <v>220</v>
      </c>
      <c r="R23" s="30">
        <f>R20*0.8</f>
        <v>194.27200000000002</v>
      </c>
      <c r="S23" s="30" t="s">
        <v>216</v>
      </c>
      <c r="T23" s="30">
        <v>830</v>
      </c>
      <c r="U23" s="30" t="s">
        <v>209</v>
      </c>
      <c r="V23" s="30">
        <f>T23*R23</f>
        <v>161245.76000000001</v>
      </c>
    </row>
    <row r="24" spans="2:25" ht="15.75" thickBot="1">
      <c r="B24" s="30" t="s">
        <v>20</v>
      </c>
      <c r="C24" s="31">
        <f>SUM(C2:C23)/1000000</f>
        <v>41.032165856363356</v>
      </c>
      <c r="D24" s="31"/>
      <c r="E24" s="31"/>
      <c r="F24" s="31">
        <f>SUM(F2:F21)+I9</f>
        <v>721.70623125006819</v>
      </c>
      <c r="G24" s="31">
        <f>SUM(G2:G21)</f>
        <v>42176.246231926445</v>
      </c>
      <c r="H24" s="30" t="s">
        <v>184</v>
      </c>
      <c r="I24" s="78">
        <f>(I2*I1/1000*I18-O3*O2/100)/1000000</f>
        <v>71.256959642905414</v>
      </c>
      <c r="Q24" s="30" t="s">
        <v>221</v>
      </c>
      <c r="R24" s="30">
        <f>R20*0.1</f>
        <v>24.284000000000002</v>
      </c>
      <c r="S24" s="30" t="s">
        <v>216</v>
      </c>
      <c r="T24" s="30">
        <v>100</v>
      </c>
      <c r="U24" s="30" t="s">
        <v>222</v>
      </c>
      <c r="V24" s="30">
        <f>T24*R24*1000</f>
        <v>2428400</v>
      </c>
    </row>
    <row r="25" spans="2:25" ht="15.75" thickBot="1">
      <c r="H25" s="30" t="s">
        <v>183</v>
      </c>
      <c r="I25" s="78">
        <f>(0-I22*1000000)/(I15*I18*(-I6)/1000)</f>
        <v>-3.0268936045826722</v>
      </c>
      <c r="Q25" s="169" t="s">
        <v>227</v>
      </c>
      <c r="R25" s="54">
        <v>1000</v>
      </c>
      <c r="S25" s="54" t="s">
        <v>209</v>
      </c>
      <c r="T25" s="54">
        <v>5.24</v>
      </c>
      <c r="U25" s="54" t="s">
        <v>234</v>
      </c>
      <c r="V25" s="54" t="s">
        <v>235</v>
      </c>
      <c r="W25" s="54"/>
      <c r="X25" s="54">
        <v>0.1</v>
      </c>
      <c r="Y25" s="55" t="s">
        <v>233</v>
      </c>
    </row>
    <row r="26" spans="2:25">
      <c r="H26" s="169" t="s">
        <v>92</v>
      </c>
      <c r="I26" s="55"/>
      <c r="Q26" s="151" t="s">
        <v>228</v>
      </c>
      <c r="R26" s="34">
        <v>158.4</v>
      </c>
      <c r="S26" s="34" t="s">
        <v>229</v>
      </c>
      <c r="T26" s="34">
        <f>V26*X26</f>
        <v>7140000</v>
      </c>
      <c r="U26" s="34" t="s">
        <v>242</v>
      </c>
      <c r="V26" s="34">
        <v>28000</v>
      </c>
      <c r="W26" s="34" t="s">
        <v>241</v>
      </c>
      <c r="X26" s="34">
        <v>255</v>
      </c>
      <c r="Y26" s="56" t="s">
        <v>230</v>
      </c>
    </row>
    <row r="27" spans="2:25" ht="15.75" thickBot="1">
      <c r="H27" s="151">
        <v>1988</v>
      </c>
      <c r="I27" s="56">
        <v>342.5</v>
      </c>
      <c r="Q27" s="152" t="s">
        <v>232</v>
      </c>
      <c r="R27" s="57">
        <f>R26*T27/T26</f>
        <v>245.11845378151261</v>
      </c>
      <c r="S27" s="57" t="s">
        <v>229</v>
      </c>
      <c r="T27" s="170">
        <v>11048900</v>
      </c>
      <c r="U27" s="57" t="s">
        <v>242</v>
      </c>
      <c r="V27" s="57">
        <v>4000</v>
      </c>
      <c r="W27" s="57" t="s">
        <v>231</v>
      </c>
      <c r="X27" s="57">
        <f>R27*T25*(1-X25)</f>
        <v>1155.9786280336136</v>
      </c>
      <c r="Y27" s="58" t="s">
        <v>268</v>
      </c>
    </row>
    <row r="28" spans="2:25">
      <c r="H28" s="151">
        <v>2006</v>
      </c>
      <c r="I28" s="56">
        <v>499.6</v>
      </c>
    </row>
    <row r="29" spans="2:25">
      <c r="H29" s="151">
        <v>2010</v>
      </c>
      <c r="I29" s="56">
        <v>532.9</v>
      </c>
    </row>
    <row r="30" spans="2:25" ht="15.75" thickBot="1">
      <c r="H30" s="152">
        <v>2018</v>
      </c>
      <c r="I30" s="58">
        <v>603.1</v>
      </c>
    </row>
    <row r="31" spans="2:25">
      <c r="H31" s="89" t="s">
        <v>149</v>
      </c>
      <c r="I31" s="30">
        <v>0.72</v>
      </c>
    </row>
    <row r="32" spans="2:25">
      <c r="H32" s="89" t="s">
        <v>169</v>
      </c>
      <c r="I32" s="30">
        <v>0.88</v>
      </c>
    </row>
    <row r="33" spans="8:9">
      <c r="H33" s="30" t="s">
        <v>279</v>
      </c>
      <c r="I33" s="30">
        <v>1.27</v>
      </c>
    </row>
    <row r="34" spans="8:9">
      <c r="H34" s="30" t="s">
        <v>302</v>
      </c>
      <c r="I34" s="30">
        <v>1.33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Y38"/>
  <sheetViews>
    <sheetView workbookViewId="0">
      <selection activeCell="C3" sqref="C3"/>
    </sheetView>
  </sheetViews>
  <sheetFormatPr defaultRowHeight="15"/>
  <cols>
    <col min="2" max="2" width="37.7109375" bestFit="1" customWidth="1"/>
    <col min="3" max="3" width="32.85546875" bestFit="1" customWidth="1"/>
    <col min="4" max="4" width="32.7109375" customWidth="1"/>
    <col min="5" max="5" width="77.7109375" bestFit="1" customWidth="1"/>
    <col min="6" max="6" width="16.28515625" bestFit="1" customWidth="1"/>
    <col min="7" max="7" width="30.85546875" bestFit="1" customWidth="1"/>
    <col min="8" max="8" width="61.42578125" bestFit="1" customWidth="1"/>
    <col min="9" max="9" width="10.7109375" bestFit="1" customWidth="1"/>
    <col min="10" max="10" width="10.5703125" bestFit="1" customWidth="1"/>
    <col min="12" max="12" width="9.28515625" bestFit="1" customWidth="1"/>
    <col min="13" max="13" width="17.28515625" bestFit="1" customWidth="1"/>
    <col min="14" max="14" width="13.7109375" bestFit="1" customWidth="1"/>
    <col min="15" max="15" width="14.140625" bestFit="1" customWidth="1"/>
    <col min="16" max="16" width="9.28515625" bestFit="1" customWidth="1"/>
    <col min="17" max="17" width="38.140625" bestFit="1" customWidth="1"/>
    <col min="18" max="18" width="12.5703125" bestFit="1" customWidth="1"/>
    <col min="20" max="20" width="12.5703125" bestFit="1" customWidth="1"/>
    <col min="21" max="21" width="9.28515625" bestFit="1" customWidth="1"/>
    <col min="22" max="22" width="10.5703125" bestFit="1" customWidth="1"/>
    <col min="24" max="24" width="9.28515625" bestFit="1" customWidth="1"/>
    <col min="25" max="25" width="11.85546875" bestFit="1" customWidth="1"/>
  </cols>
  <sheetData>
    <row r="1" spans="2:25">
      <c r="B1" s="30"/>
      <c r="C1" s="30" t="s">
        <v>148</v>
      </c>
      <c r="D1" s="30" t="s">
        <v>155</v>
      </c>
      <c r="E1" s="30" t="s">
        <v>157</v>
      </c>
      <c r="F1" s="30" t="s">
        <v>21</v>
      </c>
      <c r="G1" s="30" t="s">
        <v>22</v>
      </c>
      <c r="H1" s="30" t="s">
        <v>18</v>
      </c>
      <c r="I1" s="31">
        <v>22944.3485834532</v>
      </c>
      <c r="J1" s="30"/>
      <c r="K1" s="34"/>
      <c r="L1" s="30"/>
      <c r="M1" s="30" t="s">
        <v>137</v>
      </c>
      <c r="N1" s="30"/>
      <c r="O1" s="30"/>
      <c r="P1" s="30"/>
      <c r="Q1" s="160" t="s">
        <v>140</v>
      </c>
      <c r="R1" s="30"/>
      <c r="S1" s="30"/>
      <c r="T1" s="30"/>
      <c r="U1" s="30"/>
      <c r="V1" s="30"/>
      <c r="W1" s="30"/>
      <c r="X1" s="30"/>
      <c r="Y1" s="30"/>
    </row>
    <row r="2" spans="2:25">
      <c r="B2" s="30" t="s">
        <v>238</v>
      </c>
      <c r="C2" s="30">
        <f>0.367*25503700^0.77*I30/I28</f>
        <v>223623.48956389565</v>
      </c>
      <c r="D2" s="30" t="s">
        <v>167</v>
      </c>
      <c r="E2" s="30" t="s">
        <v>158</v>
      </c>
      <c r="F2" s="30">
        <v>43.322000000000003</v>
      </c>
      <c r="G2" s="30">
        <v>1569.8</v>
      </c>
      <c r="H2" s="30" t="s">
        <v>123</v>
      </c>
      <c r="I2" s="30">
        <v>496</v>
      </c>
      <c r="J2" s="30"/>
      <c r="K2" s="34"/>
      <c r="L2" s="30"/>
      <c r="M2" s="30"/>
      <c r="N2" s="30" t="s">
        <v>138</v>
      </c>
      <c r="O2" s="30">
        <f>11.2/I34</f>
        <v>8.4210526315789469</v>
      </c>
      <c r="P2" s="30"/>
      <c r="Q2" s="161" t="s">
        <v>141</v>
      </c>
      <c r="R2" s="33"/>
      <c r="S2" s="162"/>
      <c r="T2" s="30"/>
      <c r="U2" s="30"/>
      <c r="V2" s="30"/>
      <c r="W2" s="30"/>
      <c r="X2" s="30"/>
      <c r="Y2" s="30"/>
    </row>
    <row r="3" spans="2:25">
      <c r="B3" s="163" t="s">
        <v>17</v>
      </c>
      <c r="C3" s="30">
        <f>8880*7739.05^0.42*I30/I28</f>
        <v>460711.10285702324</v>
      </c>
      <c r="D3" s="30" t="s">
        <v>156</v>
      </c>
      <c r="E3" s="30" t="s">
        <v>158</v>
      </c>
      <c r="F3" s="30"/>
      <c r="G3" s="30"/>
      <c r="H3" s="30" t="s">
        <v>271</v>
      </c>
      <c r="I3" s="31">
        <f>0-R12</f>
        <v>-26645.319144183999</v>
      </c>
      <c r="J3" s="30"/>
      <c r="K3" s="34"/>
      <c r="L3" s="30"/>
      <c r="M3" s="30"/>
      <c r="N3" s="30" t="s">
        <v>139</v>
      </c>
      <c r="O3" s="30">
        <f>R8*I18*1000</f>
        <v>214288223.76000002</v>
      </c>
      <c r="P3" s="30"/>
      <c r="Q3" s="164" t="s">
        <v>111</v>
      </c>
      <c r="R3" s="34">
        <f>1000000*R4/R5*0.028317*24*365</f>
        <v>298483716.02076125</v>
      </c>
      <c r="S3" s="158" t="s">
        <v>142</v>
      </c>
      <c r="T3" s="30"/>
      <c r="U3" s="30"/>
      <c r="V3" s="30"/>
      <c r="W3" s="30"/>
      <c r="X3" s="30"/>
      <c r="Y3" s="30"/>
    </row>
    <row r="4" spans="2:25">
      <c r="B4" s="30" t="s">
        <v>0</v>
      </c>
      <c r="C4" s="30">
        <v>3209600</v>
      </c>
      <c r="D4" s="41" t="s">
        <v>170</v>
      </c>
      <c r="E4" s="41" t="s">
        <v>165</v>
      </c>
      <c r="F4" s="30">
        <v>225.75399999999999</v>
      </c>
      <c r="G4" s="30">
        <v>8180.43</v>
      </c>
      <c r="H4" s="30" t="s">
        <v>135</v>
      </c>
      <c r="I4" s="31">
        <f>(I1/32-0.417*1432.94)*44</f>
        <v>5256.8961822481506</v>
      </c>
      <c r="J4" s="30"/>
      <c r="K4" s="34"/>
      <c r="L4" s="30"/>
      <c r="M4" s="30"/>
      <c r="N4" s="30"/>
      <c r="O4" s="30"/>
      <c r="P4" s="30"/>
      <c r="Q4" s="164" t="s">
        <v>143</v>
      </c>
      <c r="R4" s="34">
        <v>556.4</v>
      </c>
      <c r="S4" s="158"/>
      <c r="T4" s="30"/>
      <c r="U4" s="30"/>
      <c r="V4" s="30"/>
      <c r="W4" s="30"/>
      <c r="X4" s="30"/>
      <c r="Y4" s="30"/>
    </row>
    <row r="5" spans="2:25">
      <c r="B5" s="30" t="s">
        <v>1</v>
      </c>
      <c r="C5" s="30">
        <f>(32000+70*1112.87^1.2)*I30/I29</f>
        <v>394786.26654096064</v>
      </c>
      <c r="D5" s="30" t="s">
        <v>160</v>
      </c>
      <c r="E5" s="30" t="s">
        <v>291</v>
      </c>
      <c r="F5" s="30"/>
      <c r="G5" s="30"/>
      <c r="H5" s="30" t="s">
        <v>136</v>
      </c>
      <c r="I5" s="30">
        <v>40.4</v>
      </c>
      <c r="J5" s="30" t="s">
        <v>301</v>
      </c>
      <c r="K5" s="34"/>
      <c r="L5" s="30"/>
      <c r="M5" s="30"/>
      <c r="N5" s="30"/>
      <c r="O5" s="30"/>
      <c r="P5" s="30"/>
      <c r="Q5" s="165" t="s">
        <v>144</v>
      </c>
      <c r="R5" s="35">
        <v>462.4</v>
      </c>
      <c r="S5" s="166"/>
      <c r="T5" s="30"/>
      <c r="U5" s="30"/>
      <c r="V5" s="30"/>
      <c r="W5" s="30"/>
      <c r="X5" s="30"/>
      <c r="Y5" s="30"/>
    </row>
    <row r="6" spans="2:25">
      <c r="B6" s="30" t="s">
        <v>2</v>
      </c>
      <c r="C6" s="30">
        <f>(11600+34*2540.12^0.85)*I30/I29</f>
        <v>43282.348034478993</v>
      </c>
      <c r="D6" s="30" t="s">
        <v>161</v>
      </c>
      <c r="E6" s="41" t="s">
        <v>294</v>
      </c>
      <c r="F6" s="30"/>
      <c r="G6" s="30"/>
      <c r="H6" s="30" t="s">
        <v>272</v>
      </c>
      <c r="I6" s="31">
        <f>I3+G30-G27</f>
        <v>-24766.975489599248</v>
      </c>
      <c r="J6" s="30"/>
      <c r="K6" s="3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2:25">
      <c r="B7" s="30" t="s">
        <v>252</v>
      </c>
      <c r="C7" s="30">
        <f>(4*32000+70*(82+12.04+14.4+54.7)^1.2)*I30/I29</f>
        <v>180664.2697421402</v>
      </c>
      <c r="D7" s="30" t="s">
        <v>160</v>
      </c>
      <c r="E7" s="30" t="s">
        <v>291</v>
      </c>
      <c r="F7" s="30">
        <v>-55.99</v>
      </c>
      <c r="G7" s="30">
        <v>-1681.1</v>
      </c>
      <c r="H7" s="30" t="s">
        <v>23</v>
      </c>
      <c r="I7" s="30">
        <f>18/1.33</f>
        <v>13.533834586466165</v>
      </c>
      <c r="J7" s="30"/>
      <c r="K7" s="34"/>
      <c r="L7" s="30"/>
      <c r="M7" s="30"/>
      <c r="N7" s="30"/>
      <c r="O7" s="30"/>
      <c r="P7" s="30"/>
      <c r="Q7" s="161" t="s">
        <v>145</v>
      </c>
      <c r="R7" s="33">
        <v>0.15</v>
      </c>
      <c r="S7" s="162"/>
      <c r="T7" s="30"/>
      <c r="U7" s="30"/>
      <c r="V7" s="30"/>
      <c r="W7" s="30"/>
      <c r="X7" s="30"/>
      <c r="Y7" s="30"/>
    </row>
    <row r="8" spans="2:25">
      <c r="B8" s="163" t="s">
        <v>150</v>
      </c>
      <c r="C8" s="30">
        <f>(580000+20000*(14371.3/I31)^0.6)*I30/I29+(1400*((14371.3-(21169.9-13812.7))/I31)^0.75)*I30/I28</f>
        <v>10920998.175120959</v>
      </c>
      <c r="D8" s="30" t="s">
        <v>240</v>
      </c>
      <c r="E8" s="41" t="s">
        <v>293</v>
      </c>
      <c r="F8" s="30">
        <f>401.842+354.495+357.439</f>
        <v>1113.7760000000001</v>
      </c>
      <c r="G8" s="30">
        <f>1798.71+1586.78+1599.96</f>
        <v>4985.45</v>
      </c>
      <c r="H8" s="30" t="s">
        <v>171</v>
      </c>
      <c r="I8" s="30">
        <f>(36*R11*32/78.1/1000*22)*I30/I27</f>
        <v>3.1057996768870928</v>
      </c>
      <c r="J8" s="30" t="s">
        <v>175</v>
      </c>
      <c r="K8" s="34"/>
      <c r="L8" s="30"/>
      <c r="M8" s="30"/>
      <c r="N8" s="30"/>
      <c r="O8" s="30"/>
      <c r="P8" s="30"/>
      <c r="Q8" s="165" t="s">
        <v>146</v>
      </c>
      <c r="R8" s="35">
        <f>0.15*R5*R3*0.0000002931/0.028317/8000</f>
        <v>26.786027970000003</v>
      </c>
      <c r="S8" s="166" t="s">
        <v>147</v>
      </c>
      <c r="T8" s="30"/>
      <c r="U8" s="30"/>
      <c r="V8" s="30"/>
      <c r="W8" s="30"/>
      <c r="X8" s="30"/>
      <c r="Y8" s="30"/>
    </row>
    <row r="9" spans="2:25">
      <c r="B9" s="30" t="s">
        <v>204</v>
      </c>
      <c r="C9" s="41">
        <f>(8000+240*(0.0023/I32)^0.9)*I30/I29</f>
        <v>9055.1429528664048</v>
      </c>
      <c r="D9" s="30" t="s">
        <v>163</v>
      </c>
      <c r="E9" s="41" t="s">
        <v>159</v>
      </c>
      <c r="F9" s="30">
        <v>3.7000000000000002E-3</v>
      </c>
      <c r="G9" s="30">
        <v>3.7000000000000002E-3</v>
      </c>
      <c r="H9" s="30" t="s">
        <v>172</v>
      </c>
      <c r="I9" s="30">
        <f>(306*R11*32/1000)*I30/I27</f>
        <v>93.717505250068029</v>
      </c>
      <c r="J9" s="30" t="s">
        <v>175</v>
      </c>
      <c r="K9" s="3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2:25">
      <c r="B10" s="30" t="s">
        <v>239</v>
      </c>
      <c r="C10" s="31">
        <f>0.367*19460.7^0.77*I30/I28</f>
        <v>889.37511890696214</v>
      </c>
      <c r="D10" s="30" t="s">
        <v>167</v>
      </c>
      <c r="E10" s="30" t="s">
        <v>158</v>
      </c>
      <c r="F10" s="30">
        <v>3.3000000000000002E-2</v>
      </c>
      <c r="G10" s="30">
        <v>1.2</v>
      </c>
      <c r="H10" s="30" t="s">
        <v>224</v>
      </c>
      <c r="I10" s="30"/>
      <c r="J10" s="30" t="s">
        <v>243</v>
      </c>
      <c r="K10" s="34"/>
      <c r="L10" s="30" t="s">
        <v>244</v>
      </c>
      <c r="M10" s="30"/>
      <c r="N10" s="30"/>
      <c r="O10" s="30"/>
      <c r="P10" s="30"/>
      <c r="Q10" s="30" t="s">
        <v>173</v>
      </c>
      <c r="R10" s="167">
        <v>16723.417594269999</v>
      </c>
      <c r="S10" s="30"/>
      <c r="T10" s="30"/>
      <c r="U10" s="30"/>
      <c r="V10" s="30"/>
      <c r="W10" s="30"/>
      <c r="X10" s="30"/>
      <c r="Y10" s="30"/>
    </row>
    <row r="11" spans="2:25">
      <c r="B11" s="30" t="s">
        <v>250</v>
      </c>
      <c r="C11" s="30">
        <v>237100</v>
      </c>
      <c r="D11" s="41" t="s">
        <v>249</v>
      </c>
      <c r="E11" s="41" t="s">
        <v>165</v>
      </c>
      <c r="F11" s="30">
        <v>5.4560000000000004</v>
      </c>
      <c r="G11" s="30">
        <v>197.7</v>
      </c>
      <c r="H11" s="30" t="s">
        <v>265</v>
      </c>
      <c r="I11" s="77">
        <f>(L11/1000*(U13+U14)+L11*(0.8*U15+0.2*U16))/1000000</f>
        <v>0.50758612959966098</v>
      </c>
      <c r="J11" s="30">
        <f>R18/R19/1000*I18/V27</f>
        <v>379776.05027852795</v>
      </c>
      <c r="K11" s="34" t="s">
        <v>261</v>
      </c>
      <c r="L11" s="30">
        <f>T18/T19/1000</f>
        <v>16216.809252385334</v>
      </c>
      <c r="M11" s="30" t="s">
        <v>210</v>
      </c>
      <c r="N11" s="30"/>
      <c r="O11" s="30"/>
      <c r="P11" s="30"/>
      <c r="Q11" s="30" t="s">
        <v>174</v>
      </c>
      <c r="R11" s="167">
        <v>5.4352629788556204</v>
      </c>
      <c r="S11" s="30"/>
      <c r="T11" s="30"/>
      <c r="U11" s="30"/>
      <c r="V11" s="30"/>
      <c r="W11" s="30"/>
      <c r="X11" s="30"/>
      <c r="Y11" s="30"/>
    </row>
    <row r="12" spans="2:25">
      <c r="B12" s="30" t="s">
        <v>205</v>
      </c>
      <c r="C12" s="30">
        <v>697900</v>
      </c>
      <c r="D12" s="30" t="s">
        <v>251</v>
      </c>
      <c r="E12" s="41" t="s">
        <v>165</v>
      </c>
      <c r="F12" s="30"/>
      <c r="G12" s="30"/>
      <c r="H12" s="30" t="s">
        <v>266</v>
      </c>
      <c r="I12" s="77">
        <f>J12/1000000</f>
        <v>1.1559786280336135</v>
      </c>
      <c r="J12" s="41">
        <f>R25*X27</f>
        <v>1155978.6280336136</v>
      </c>
      <c r="K12" s="34" t="s">
        <v>31</v>
      </c>
      <c r="L12" s="30"/>
      <c r="M12" s="30"/>
      <c r="N12" s="30"/>
      <c r="O12" s="30"/>
      <c r="P12" s="30"/>
      <c r="Q12" s="30" t="s">
        <v>182</v>
      </c>
      <c r="R12" s="30">
        <v>26645.319144183999</v>
      </c>
      <c r="S12" s="30"/>
      <c r="T12" s="30" t="s">
        <v>244</v>
      </c>
      <c r="U12" s="30"/>
      <c r="V12" s="30"/>
      <c r="W12" s="30"/>
      <c r="X12" s="30"/>
      <c r="Y12" s="30"/>
    </row>
    <row r="13" spans="2:25">
      <c r="B13" s="30" t="s">
        <v>253</v>
      </c>
      <c r="C13" s="30">
        <v>108500</v>
      </c>
      <c r="D13" s="30" t="s">
        <v>164</v>
      </c>
      <c r="E13" s="41" t="s">
        <v>165</v>
      </c>
      <c r="F13" s="30">
        <v>-21.486000000000001</v>
      </c>
      <c r="G13" s="30">
        <v>-567.37</v>
      </c>
      <c r="H13" s="30" t="s">
        <v>267</v>
      </c>
      <c r="I13" s="77">
        <f>(R21*T21+R22*T22+R23*T23+R24*T24*1000)/1000000</f>
        <v>3.89806768</v>
      </c>
      <c r="J13" s="30">
        <f>R20</f>
        <v>242.84</v>
      </c>
      <c r="K13" s="34" t="s">
        <v>262</v>
      </c>
      <c r="L13" s="30"/>
      <c r="M13" s="30"/>
      <c r="N13" s="30"/>
      <c r="O13" s="30"/>
      <c r="P13" s="30"/>
      <c r="Q13" s="30"/>
      <c r="R13" s="30"/>
      <c r="S13" s="30"/>
      <c r="T13" s="30" t="s">
        <v>246</v>
      </c>
      <c r="U13" s="30">
        <v>5000</v>
      </c>
      <c r="V13" s="30" t="s">
        <v>209</v>
      </c>
      <c r="W13" s="30"/>
      <c r="X13" s="30"/>
      <c r="Y13" s="30"/>
    </row>
    <row r="14" spans="2:25">
      <c r="B14" s="30" t="s">
        <v>151</v>
      </c>
      <c r="C14" s="30">
        <f>(580000+20000*(1330.71/I31)^0.6-1100+2100*(1330.71/I31)^0.6)*I30/I29</f>
        <v>2936480.8736590995</v>
      </c>
      <c r="D14" s="30" t="s">
        <v>254</v>
      </c>
      <c r="E14" s="30" t="s">
        <v>291</v>
      </c>
      <c r="F14" s="41">
        <v>103.13</v>
      </c>
      <c r="G14" s="30">
        <v>461.62799999999999</v>
      </c>
      <c r="H14" s="30" t="s">
        <v>132</v>
      </c>
      <c r="I14" s="30">
        <f>FCI!F44</f>
        <v>175.50573493302119</v>
      </c>
      <c r="J14" s="30"/>
      <c r="K14" s="34"/>
      <c r="L14" s="30"/>
      <c r="M14" s="30"/>
      <c r="N14" s="30"/>
      <c r="O14" s="30"/>
      <c r="P14" s="30"/>
      <c r="Q14" s="30" t="s">
        <v>198</v>
      </c>
      <c r="R14" s="30">
        <f>'BFG utility'!G4</f>
        <v>40260.699999999997</v>
      </c>
      <c r="S14" s="30"/>
      <c r="T14" s="30" t="s">
        <v>245</v>
      </c>
      <c r="U14" s="30">
        <v>300</v>
      </c>
      <c r="V14" s="30" t="s">
        <v>209</v>
      </c>
      <c r="W14" s="30"/>
      <c r="X14" s="30"/>
      <c r="Y14" s="30"/>
    </row>
    <row r="15" spans="2:25">
      <c r="B15" s="30" t="s">
        <v>255</v>
      </c>
      <c r="C15" s="30">
        <f>(8000+240*(13.1255/I32)^0.9)*I30/I29</f>
        <v>12145.751106763812</v>
      </c>
      <c r="D15" s="30" t="s">
        <v>163</v>
      </c>
      <c r="E15" s="30" t="s">
        <v>291</v>
      </c>
      <c r="F15" s="30"/>
      <c r="G15" s="30"/>
      <c r="H15" s="30" t="s">
        <v>126</v>
      </c>
      <c r="I15" s="30">
        <v>30</v>
      </c>
      <c r="J15" s="30"/>
      <c r="K15" s="34"/>
      <c r="L15" s="30"/>
      <c r="M15" s="30"/>
      <c r="N15" s="30"/>
      <c r="O15" s="30"/>
      <c r="P15" s="30"/>
      <c r="Q15" s="30"/>
      <c r="R15" s="30" t="s">
        <v>243</v>
      </c>
      <c r="S15" s="30"/>
      <c r="T15" s="30" t="s">
        <v>247</v>
      </c>
      <c r="U15" s="30">
        <v>20</v>
      </c>
      <c r="V15" s="30" t="s">
        <v>222</v>
      </c>
      <c r="W15" s="30"/>
      <c r="X15" s="30"/>
      <c r="Y15" s="30"/>
    </row>
    <row r="16" spans="2:25">
      <c r="B16" s="30" t="s">
        <v>7</v>
      </c>
      <c r="C16" s="30">
        <f>(32000+70*58.734^1.2)*I30/I29</f>
        <v>46723.160791558679</v>
      </c>
      <c r="D16" s="30" t="s">
        <v>160</v>
      </c>
      <c r="E16" s="30" t="s">
        <v>291</v>
      </c>
      <c r="F16" s="30"/>
      <c r="G16" s="30"/>
      <c r="H16" s="30" t="s">
        <v>127</v>
      </c>
      <c r="I16" s="30">
        <v>0.15</v>
      </c>
      <c r="J16" s="30"/>
      <c r="K16" s="34"/>
      <c r="L16" s="30"/>
      <c r="M16" s="30"/>
      <c r="N16" s="30"/>
      <c r="O16" s="30"/>
      <c r="P16" s="30"/>
      <c r="Q16" s="30" t="s">
        <v>206</v>
      </c>
      <c r="R16" s="30">
        <v>3.5</v>
      </c>
      <c r="S16" s="30" t="s">
        <v>208</v>
      </c>
      <c r="T16" s="30" t="s">
        <v>248</v>
      </c>
      <c r="U16" s="30">
        <v>50</v>
      </c>
      <c r="V16" s="30" t="s">
        <v>222</v>
      </c>
      <c r="W16" s="30"/>
      <c r="X16" s="30"/>
      <c r="Y16" s="30"/>
    </row>
    <row r="17" spans="2:25">
      <c r="B17" s="30" t="s">
        <v>6</v>
      </c>
      <c r="C17" s="30">
        <f>(32000+70*40.67^1.2)*I30/I29</f>
        <v>42975.797979276373</v>
      </c>
      <c r="D17" s="30" t="s">
        <v>160</v>
      </c>
      <c r="E17" s="30" t="s">
        <v>291</v>
      </c>
      <c r="F17" s="30"/>
      <c r="G17" s="30"/>
      <c r="H17" s="30" t="s">
        <v>128</v>
      </c>
      <c r="I17" s="30">
        <f>(1-(1+I16)^-I15)/I16</f>
        <v>6.5659796367074357</v>
      </c>
      <c r="J17" s="30"/>
      <c r="K17" s="34"/>
      <c r="L17" s="30"/>
      <c r="M17" s="30"/>
      <c r="N17" s="30"/>
      <c r="O17" s="30"/>
      <c r="P17" s="30"/>
      <c r="Q17" s="30" t="s">
        <v>207</v>
      </c>
      <c r="R17" s="30">
        <v>830</v>
      </c>
      <c r="S17" s="30" t="s">
        <v>209</v>
      </c>
      <c r="T17" s="30"/>
      <c r="U17" s="30"/>
      <c r="V17" s="30"/>
      <c r="W17" s="30"/>
      <c r="X17" s="30"/>
      <c r="Y17" s="30"/>
    </row>
    <row r="18" spans="2:25">
      <c r="B18" s="30" t="s">
        <v>8</v>
      </c>
      <c r="C18" s="30">
        <v>1906200</v>
      </c>
      <c r="D18" s="30" t="s">
        <v>164</v>
      </c>
      <c r="E18" s="41" t="s">
        <v>165</v>
      </c>
      <c r="F18" s="30">
        <f>-78860800*0.00000246</f>
        <v>-193.997568</v>
      </c>
      <c r="G18" s="30">
        <f>F18*G7/F7</f>
        <v>-5824.7778454152522</v>
      </c>
      <c r="H18" s="30" t="s">
        <v>129</v>
      </c>
      <c r="I18" s="30">
        <v>8000</v>
      </c>
      <c r="J18" s="30"/>
      <c r="K18" s="34"/>
      <c r="L18" s="30"/>
      <c r="M18" s="30"/>
      <c r="N18" s="30"/>
      <c r="O18" s="30"/>
      <c r="P18" s="30"/>
      <c r="Q18" s="30" t="s">
        <v>212</v>
      </c>
      <c r="R18" s="163">
        <v>142416018.85444799</v>
      </c>
      <c r="S18" s="30" t="s">
        <v>211</v>
      </c>
      <c r="T18" s="163">
        <v>142416018.85444799</v>
      </c>
      <c r="U18" s="30" t="s">
        <v>211</v>
      </c>
      <c r="V18" s="30"/>
      <c r="W18" s="30"/>
      <c r="X18" s="30"/>
      <c r="Y18" s="30"/>
    </row>
    <row r="19" spans="2:25">
      <c r="B19" s="30" t="s">
        <v>9</v>
      </c>
      <c r="C19" s="30">
        <f>(6*32000+70*(235.9+36.77+16.02+134.15+14.24+485.603)^1.2)*I30/I29</f>
        <v>503647.48452293983</v>
      </c>
      <c r="D19" s="30" t="s">
        <v>160</v>
      </c>
      <c r="E19" s="41" t="s">
        <v>292</v>
      </c>
      <c r="F19" s="46">
        <v>-163.68299999999999</v>
      </c>
      <c r="G19" s="46">
        <v>-4914.45</v>
      </c>
      <c r="H19" s="30"/>
      <c r="I19" s="30"/>
      <c r="J19" s="30"/>
      <c r="K19" s="34"/>
      <c r="L19" s="30"/>
      <c r="M19" s="30"/>
      <c r="N19" s="30"/>
      <c r="O19" s="30"/>
      <c r="P19" s="30"/>
      <c r="Q19" s="30" t="s">
        <v>213</v>
      </c>
      <c r="R19" s="30">
        <v>0.75</v>
      </c>
      <c r="S19" s="30" t="s">
        <v>214</v>
      </c>
      <c r="T19" s="30">
        <f>43.91/1000*60/0.3</f>
        <v>8.782</v>
      </c>
      <c r="U19" s="30" t="s">
        <v>214</v>
      </c>
      <c r="V19" s="30"/>
      <c r="W19" s="30"/>
      <c r="X19" s="30"/>
      <c r="Y19" s="30"/>
    </row>
    <row r="20" spans="2:25">
      <c r="B20" s="30" t="s">
        <v>10</v>
      </c>
      <c r="C20" s="30">
        <f>(11600+34*5942.1^0.85)*I30/I29</f>
        <v>75225.215808338529</v>
      </c>
      <c r="D20" s="30" t="s">
        <v>161</v>
      </c>
      <c r="E20" s="30" t="s">
        <v>291</v>
      </c>
      <c r="F20" s="30"/>
      <c r="G20" s="30"/>
      <c r="H20" s="30" t="s">
        <v>131</v>
      </c>
      <c r="I20" s="30">
        <f>'Maintenance &amp; Operations cost'!K39</f>
        <v>48.533121624467739</v>
      </c>
      <c r="J20" s="30"/>
      <c r="K20" s="34"/>
      <c r="L20" s="30"/>
      <c r="M20" s="30"/>
      <c r="N20" s="30"/>
      <c r="O20" s="30"/>
      <c r="P20" s="30"/>
      <c r="Q20" s="52" t="s">
        <v>215</v>
      </c>
      <c r="R20" s="163">
        <v>242.84</v>
      </c>
      <c r="S20" s="30" t="s">
        <v>216</v>
      </c>
      <c r="T20" s="30" t="s">
        <v>217</v>
      </c>
      <c r="U20" s="30"/>
      <c r="V20" s="30" t="s">
        <v>223</v>
      </c>
      <c r="W20" s="30"/>
      <c r="X20" s="30"/>
      <c r="Y20" s="30"/>
    </row>
    <row r="21" spans="2:25">
      <c r="B21" s="163" t="s">
        <v>152</v>
      </c>
      <c r="C21" s="30">
        <f>(580000+20000*(293.95/I31)^0.6-1100+2100*(293.95/I31)^0.6)*I30/I29</f>
        <v>1577095.0133229767</v>
      </c>
      <c r="D21" s="30" t="s">
        <v>254</v>
      </c>
      <c r="E21" s="30" t="s">
        <v>291</v>
      </c>
      <c r="F21" s="41">
        <v>11.323</v>
      </c>
      <c r="G21" s="41">
        <v>50.683799999999998</v>
      </c>
      <c r="H21" s="30" t="s">
        <v>130</v>
      </c>
      <c r="I21" s="30">
        <f>(I2*I1/1000*I18+I7*(-I6)*I18/1000-O3*O2/100)/1000000</f>
        <v>75.679388268903423</v>
      </c>
      <c r="J21" s="30"/>
      <c r="K21" s="34"/>
      <c r="L21" s="30"/>
      <c r="M21" s="30"/>
      <c r="N21" s="30"/>
      <c r="O21" s="30"/>
      <c r="P21" s="30"/>
      <c r="Q21" s="30" t="s">
        <v>218</v>
      </c>
      <c r="R21" s="30">
        <f>R20*0.55</f>
        <v>133.56200000000001</v>
      </c>
      <c r="S21" s="30" t="s">
        <v>216</v>
      </c>
      <c r="T21" s="30">
        <v>9600</v>
      </c>
      <c r="U21" s="30" t="s">
        <v>209</v>
      </c>
      <c r="V21" s="30">
        <f>T21*R21</f>
        <v>1282195.2000000002</v>
      </c>
      <c r="W21" s="30"/>
      <c r="X21" s="30"/>
      <c r="Y21" s="30"/>
    </row>
    <row r="22" spans="2:25">
      <c r="B22" s="30" t="s">
        <v>12</v>
      </c>
      <c r="C22" s="30">
        <f>(11600+34*5942.06^0.85)*I30/I29</f>
        <v>75224.860495689791</v>
      </c>
      <c r="D22" s="30" t="s">
        <v>161</v>
      </c>
      <c r="E22" s="41" t="s">
        <v>294</v>
      </c>
      <c r="F22" s="30"/>
      <c r="G22" s="30"/>
      <c r="H22" s="30" t="s">
        <v>133</v>
      </c>
      <c r="I22" s="78">
        <f>I17*(I21-I20)-I14</f>
        <v>2.736099066973793</v>
      </c>
      <c r="J22" s="30"/>
      <c r="K22" s="34"/>
      <c r="L22" s="30"/>
      <c r="M22" s="30"/>
      <c r="N22" s="30"/>
      <c r="O22" s="30"/>
      <c r="P22" s="30"/>
      <c r="Q22" s="30" t="s">
        <v>219</v>
      </c>
      <c r="R22" s="30">
        <f>R20*0.36</f>
        <v>87.422399999999996</v>
      </c>
      <c r="S22" s="30" t="s">
        <v>216</v>
      </c>
      <c r="T22" s="30">
        <v>300</v>
      </c>
      <c r="U22" s="30" t="s">
        <v>209</v>
      </c>
      <c r="V22" s="30">
        <f>T22*R22</f>
        <v>26226.719999999998</v>
      </c>
      <c r="W22" s="30"/>
      <c r="X22" s="30"/>
      <c r="Y22" s="30"/>
    </row>
    <row r="23" spans="2:25">
      <c r="B23" s="30" t="s">
        <v>13</v>
      </c>
      <c r="C23" s="30">
        <v>255800</v>
      </c>
      <c r="D23" s="30" t="s">
        <v>166</v>
      </c>
      <c r="E23" s="30" t="s">
        <v>165</v>
      </c>
      <c r="F23" s="30">
        <f>126.796+75.965</f>
        <v>202.76100000000002</v>
      </c>
      <c r="G23" s="30">
        <f>2270.41</f>
        <v>2270.41</v>
      </c>
      <c r="H23" s="30" t="s">
        <v>134</v>
      </c>
      <c r="I23" s="78">
        <f>I14/(I21-I20)</f>
        <v>6.4651886475518552</v>
      </c>
      <c r="J23" s="30"/>
      <c r="K23" s="30"/>
      <c r="L23" s="30"/>
      <c r="M23" s="30"/>
      <c r="N23" s="30"/>
      <c r="O23" s="30"/>
      <c r="P23" s="30"/>
      <c r="Q23" s="30" t="s">
        <v>220</v>
      </c>
      <c r="R23" s="30">
        <f>R20*0.8</f>
        <v>194.27200000000002</v>
      </c>
      <c r="S23" s="30" t="s">
        <v>216</v>
      </c>
      <c r="T23" s="30">
        <v>830</v>
      </c>
      <c r="U23" s="30" t="s">
        <v>209</v>
      </c>
      <c r="V23" s="30">
        <f>T23*R23</f>
        <v>161245.76000000001</v>
      </c>
      <c r="W23" s="30"/>
      <c r="X23" s="30"/>
      <c r="Y23" s="30"/>
    </row>
    <row r="24" spans="2:25" ht="15.75" thickBot="1">
      <c r="B24" s="163" t="s">
        <v>16</v>
      </c>
      <c r="C24" s="30">
        <f>0.367*4310380^0.77*I30/I28</f>
        <v>56886.595518302835</v>
      </c>
      <c r="D24" s="30" t="s">
        <v>167</v>
      </c>
      <c r="E24" s="30" t="s">
        <v>158</v>
      </c>
      <c r="F24" s="30">
        <v>-11.323</v>
      </c>
      <c r="G24" s="30">
        <v>-299.024</v>
      </c>
      <c r="H24" s="30" t="s">
        <v>184</v>
      </c>
      <c r="I24" s="78">
        <f>(I2*I1/1000*I18-O3*O2/100)/1000000</f>
        <v>72.997851073037026</v>
      </c>
      <c r="J24" s="30"/>
      <c r="K24" s="30"/>
      <c r="L24" s="30"/>
      <c r="M24" s="30"/>
      <c r="N24" s="30"/>
      <c r="O24" s="30"/>
      <c r="P24" s="30"/>
      <c r="Q24" s="30" t="s">
        <v>221</v>
      </c>
      <c r="R24" s="30">
        <f>R20*0.1</f>
        <v>24.284000000000002</v>
      </c>
      <c r="S24" s="30" t="s">
        <v>216</v>
      </c>
      <c r="T24" s="30">
        <v>100</v>
      </c>
      <c r="U24" s="30" t="s">
        <v>222</v>
      </c>
      <c r="V24" s="30">
        <f>T24*R24*1000</f>
        <v>2428400</v>
      </c>
      <c r="W24" s="30"/>
      <c r="X24" s="30"/>
      <c r="Y24" s="30"/>
    </row>
    <row r="25" spans="2:25" ht="15.75" thickBot="1">
      <c r="B25" s="163" t="s">
        <v>256</v>
      </c>
      <c r="C25" s="30">
        <f>(580000+20000*(13812.7/I31)^0.6)*I30/I29</f>
        <v>9061473.0101946723</v>
      </c>
      <c r="D25" s="30" t="s">
        <v>162</v>
      </c>
      <c r="E25" s="41" t="s">
        <v>291</v>
      </c>
      <c r="F25" s="30">
        <f>339.299+364.52+366.667</f>
        <v>1070.4859999999999</v>
      </c>
      <c r="G25" s="30">
        <f>1518.76+1631.65+1641.26</f>
        <v>4791.67</v>
      </c>
      <c r="H25" s="30" t="s">
        <v>183</v>
      </c>
      <c r="I25" s="78">
        <f>(0-I22*1000000)/(I15*I18*(-I6)/1000)</f>
        <v>-0.46030702391759587</v>
      </c>
      <c r="J25" s="30"/>
      <c r="K25" s="30"/>
      <c r="L25" s="30"/>
      <c r="M25" s="30"/>
      <c r="N25" s="30"/>
      <c r="O25" s="30"/>
      <c r="P25" s="30"/>
      <c r="Q25" s="169" t="s">
        <v>227</v>
      </c>
      <c r="R25" s="54">
        <v>1000</v>
      </c>
      <c r="S25" s="54" t="s">
        <v>209</v>
      </c>
      <c r="T25" s="54">
        <v>5.24</v>
      </c>
      <c r="U25" s="54" t="s">
        <v>234</v>
      </c>
      <c r="V25" s="54" t="s">
        <v>235</v>
      </c>
      <c r="W25" s="54"/>
      <c r="X25" s="54">
        <v>0.1</v>
      </c>
      <c r="Y25" s="55" t="s">
        <v>233</v>
      </c>
    </row>
    <row r="26" spans="2:25">
      <c r="B26" s="30" t="s">
        <v>15</v>
      </c>
      <c r="C26" s="30">
        <v>10440100</v>
      </c>
      <c r="D26" s="30" t="s">
        <v>168</v>
      </c>
      <c r="E26" s="30" t="s">
        <v>165</v>
      </c>
      <c r="F26" s="30">
        <v>-1640.67</v>
      </c>
      <c r="G26" s="30">
        <v>-7343.91</v>
      </c>
      <c r="H26" s="169" t="s">
        <v>92</v>
      </c>
      <c r="I26" s="55"/>
      <c r="J26" s="30"/>
      <c r="K26" s="30"/>
      <c r="L26" s="30"/>
      <c r="M26" s="30"/>
      <c r="N26" s="30"/>
      <c r="O26" s="30"/>
      <c r="P26" s="30"/>
      <c r="Q26" s="151" t="s">
        <v>228</v>
      </c>
      <c r="R26" s="34">
        <v>158.4</v>
      </c>
      <c r="S26" s="34" t="s">
        <v>229</v>
      </c>
      <c r="T26" s="34">
        <f>V26*X26</f>
        <v>7140000</v>
      </c>
      <c r="U26" s="34" t="s">
        <v>242</v>
      </c>
      <c r="V26" s="34">
        <v>28000</v>
      </c>
      <c r="W26" s="34" t="s">
        <v>241</v>
      </c>
      <c r="X26" s="34">
        <v>255</v>
      </c>
      <c r="Y26" s="56" t="s">
        <v>230</v>
      </c>
    </row>
    <row r="27" spans="2:25" ht="15.75" thickBot="1">
      <c r="B27" s="30" t="s">
        <v>199</v>
      </c>
      <c r="C27" s="30"/>
      <c r="D27" s="30"/>
      <c r="E27" s="30"/>
      <c r="F27" s="30">
        <v>0</v>
      </c>
      <c r="G27" s="30">
        <f>'BFG utility'!G4</f>
        <v>40260.699999999997</v>
      </c>
      <c r="H27" s="151">
        <v>1988</v>
      </c>
      <c r="I27" s="56">
        <v>342.5</v>
      </c>
      <c r="J27" s="30"/>
      <c r="K27" s="30"/>
      <c r="L27" s="30"/>
      <c r="M27" s="30"/>
      <c r="N27" s="30"/>
      <c r="O27" s="30"/>
      <c r="P27" s="30"/>
      <c r="Q27" s="152" t="s">
        <v>232</v>
      </c>
      <c r="R27" s="57">
        <f>R26*T27/T26</f>
        <v>245.11845378151261</v>
      </c>
      <c r="S27" s="57" t="s">
        <v>229</v>
      </c>
      <c r="T27" s="170">
        <v>11048900</v>
      </c>
      <c r="U27" s="57" t="s">
        <v>242</v>
      </c>
      <c r="V27" s="57">
        <v>4000</v>
      </c>
      <c r="W27" s="57" t="s">
        <v>231</v>
      </c>
      <c r="X27" s="57">
        <f>R27*T25*(1-X25)</f>
        <v>1155.9786280336136</v>
      </c>
      <c r="Y27" s="58" t="s">
        <v>268</v>
      </c>
    </row>
    <row r="28" spans="2:25">
      <c r="B28" s="30" t="s">
        <v>269</v>
      </c>
      <c r="C28" s="30">
        <f>I11+I12+I13</f>
        <v>5.5616324376332749</v>
      </c>
      <c r="D28" s="30"/>
      <c r="E28" s="30"/>
      <c r="F28" s="30"/>
      <c r="G28" s="30"/>
      <c r="H28" s="151">
        <v>2006</v>
      </c>
      <c r="I28" s="56">
        <v>499.6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>
      <c r="B29" s="30" t="s">
        <v>270</v>
      </c>
      <c r="C29" s="31">
        <f>I8+I5*I4/1000/1000000</f>
        <v>3.1060120554928554</v>
      </c>
      <c r="D29" s="30"/>
      <c r="E29" s="41"/>
      <c r="F29" s="31"/>
      <c r="G29" s="31"/>
      <c r="H29" s="151">
        <v>2010</v>
      </c>
      <c r="I29" s="56">
        <v>532.9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15.75" thickBot="1">
      <c r="B30" s="30" t="s">
        <v>24</v>
      </c>
      <c r="C30" s="31">
        <f>SUM(C2:C29)/1000000</f>
        <v>43.477096600975344</v>
      </c>
      <c r="D30" s="30"/>
      <c r="E30" s="30"/>
      <c r="F30" s="31">
        <f>SUM(F2:F27)+I9</f>
        <v>782.61263725006768</v>
      </c>
      <c r="G30" s="31">
        <f>SUM(G2:G27)</f>
        <v>42139.043654584748</v>
      </c>
      <c r="H30" s="152">
        <v>2018</v>
      </c>
      <c r="I30" s="58">
        <v>603.1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>
      <c r="B31" s="30"/>
      <c r="C31" s="30"/>
      <c r="D31" s="30"/>
      <c r="E31" s="41"/>
      <c r="F31" s="30"/>
      <c r="G31" s="30"/>
      <c r="H31" s="89" t="s">
        <v>149</v>
      </c>
      <c r="I31" s="30">
        <v>0.72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>
      <c r="B32" s="30"/>
      <c r="C32" s="30"/>
      <c r="D32" s="30"/>
      <c r="E32" s="30"/>
      <c r="F32" s="30"/>
      <c r="G32" s="30"/>
      <c r="H32" s="89" t="s">
        <v>169</v>
      </c>
      <c r="I32" s="30">
        <v>0.88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2:25">
      <c r="B33" s="30"/>
      <c r="C33" s="30"/>
      <c r="D33" s="30"/>
      <c r="E33" s="30"/>
      <c r="F33" s="30"/>
      <c r="G33" s="30"/>
      <c r="H33" s="30" t="s">
        <v>279</v>
      </c>
      <c r="I33" s="30">
        <v>1.27</v>
      </c>
      <c r="J33" s="30"/>
      <c r="K33" s="30"/>
      <c r="L33" s="30"/>
      <c r="M33" s="52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>
      <c r="B34" s="30"/>
      <c r="C34" s="30"/>
      <c r="D34" s="30"/>
      <c r="E34" s="30"/>
      <c r="F34" s="30"/>
      <c r="G34" s="30"/>
      <c r="H34" s="30" t="s">
        <v>302</v>
      </c>
      <c r="I34" s="30">
        <v>1.33</v>
      </c>
      <c r="J34" s="30"/>
      <c r="K34" s="30"/>
      <c r="L34" s="30"/>
      <c r="M34" s="30" t="s">
        <v>185</v>
      </c>
      <c r="N34" s="30" t="s">
        <v>186</v>
      </c>
      <c r="O34" s="30" t="s">
        <v>187</v>
      </c>
      <c r="P34" s="30" t="s">
        <v>188</v>
      </c>
      <c r="Q34" s="30" t="s">
        <v>157</v>
      </c>
      <c r="R34" s="30"/>
      <c r="S34" s="30"/>
      <c r="T34" s="30"/>
      <c r="U34" s="30"/>
      <c r="V34" s="30"/>
      <c r="W34" s="30"/>
      <c r="X34" s="30"/>
      <c r="Y34" s="30"/>
    </row>
    <row r="35" spans="2: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189</v>
      </c>
      <c r="N35" s="30">
        <v>468</v>
      </c>
      <c r="O35" s="30">
        <v>496</v>
      </c>
      <c r="P35" s="30">
        <v>460</v>
      </c>
      <c r="Q35" s="30" t="s">
        <v>190</v>
      </c>
      <c r="R35" s="30"/>
      <c r="S35" s="30"/>
      <c r="T35" s="30"/>
      <c r="U35" s="30"/>
      <c r="V35" s="30"/>
      <c r="W35" s="30"/>
      <c r="X35" s="30"/>
      <c r="Y35" s="30"/>
    </row>
    <row r="36" spans="2: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 t="s">
        <v>191</v>
      </c>
      <c r="N36" s="30">
        <f>(N35*I1/1000*I18+I7*(-I6)*I18/1000-O3*O2/100)/1000000</f>
        <v>70.539854186209908</v>
      </c>
      <c r="O36" s="30">
        <f>(O35*I1/1000*I18+I7*(-I6)*I18/1000-O3*O2/100)/1000000</f>
        <v>75.679388268903423</v>
      </c>
      <c r="P36" s="30">
        <f>(P35*I1/1000*I18+I7*(-I6)*I18/1000-O3*O2/100)/1000000</f>
        <v>69.071415876868897</v>
      </c>
      <c r="Q36" s="30"/>
      <c r="R36" s="30"/>
      <c r="S36" s="30"/>
      <c r="T36" s="30"/>
      <c r="U36" s="30"/>
      <c r="V36" s="30"/>
      <c r="W36" s="30"/>
      <c r="X36" s="30"/>
      <c r="Y36" s="30"/>
    </row>
    <row r="37" spans="2: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 t="s">
        <v>179</v>
      </c>
      <c r="N37" s="30">
        <f>I17*(N36-I20-I19)-I14</f>
        <v>-31.009977062155656</v>
      </c>
      <c r="O37" s="30">
        <f>I17*(O36-I20-I19)-I14</f>
        <v>2.736099066973793</v>
      </c>
      <c r="P37" s="30">
        <f>I17*(P36-I20-I19)-I14</f>
        <v>-40.651713099049829</v>
      </c>
      <c r="Q37" s="30"/>
      <c r="R37" s="30"/>
      <c r="S37" s="30"/>
      <c r="T37" s="30"/>
      <c r="U37" s="30"/>
      <c r="V37" s="30"/>
      <c r="W37" s="30"/>
      <c r="X37" s="30"/>
      <c r="Y37" s="30"/>
    </row>
    <row r="38" spans="2: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168" t="s">
        <v>180</v>
      </c>
      <c r="N38" s="30">
        <f>I14/(N36-I20-I19)</f>
        <v>7.9750928240083647</v>
      </c>
      <c r="O38" s="30">
        <f>I14/(O36-I20-I19)</f>
        <v>6.4651886475518552</v>
      </c>
      <c r="P38" s="30">
        <f>I14/(P36-I20-I19)</f>
        <v>8.5452926507030931</v>
      </c>
      <c r="Q38" s="30"/>
      <c r="R38" s="30"/>
      <c r="S38" s="30"/>
      <c r="T38" s="30"/>
      <c r="U38" s="30"/>
      <c r="V38" s="30"/>
      <c r="W38" s="30"/>
      <c r="X38" s="30"/>
      <c r="Y38" s="3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Y34"/>
  <sheetViews>
    <sheetView tabSelected="1" workbookViewId="0">
      <selection activeCell="D24" sqref="D24"/>
    </sheetView>
  </sheetViews>
  <sheetFormatPr defaultRowHeight="15"/>
  <cols>
    <col min="2" max="2" width="37.7109375" bestFit="1" customWidth="1"/>
    <col min="3" max="3" width="32.7109375" customWidth="1"/>
    <col min="4" max="4" width="48.42578125" customWidth="1"/>
    <col min="5" max="5" width="49.5703125" customWidth="1"/>
    <col min="6" max="6" width="16.28515625" bestFit="1" customWidth="1"/>
    <col min="7" max="7" width="30.85546875" bestFit="1" customWidth="1"/>
    <col min="8" max="8" width="61.42578125" bestFit="1" customWidth="1"/>
    <col min="9" max="9" width="10.85546875" customWidth="1"/>
    <col min="10" max="10" width="10.5703125" bestFit="1" customWidth="1"/>
    <col min="12" max="12" width="9.28515625" bestFit="1" customWidth="1"/>
    <col min="13" max="13" width="17.28515625" bestFit="1" customWidth="1"/>
    <col min="14" max="14" width="13.7109375" bestFit="1" customWidth="1"/>
    <col min="15" max="15" width="15.85546875" customWidth="1"/>
    <col min="16" max="16" width="9.28515625" bestFit="1" customWidth="1"/>
    <col min="17" max="17" width="38.140625" bestFit="1" customWidth="1"/>
    <col min="18" max="18" width="12.5703125" bestFit="1" customWidth="1"/>
    <col min="20" max="20" width="12.5703125" bestFit="1" customWidth="1"/>
    <col min="21" max="21" width="9.28515625" bestFit="1" customWidth="1"/>
    <col min="22" max="22" width="10.5703125" bestFit="1" customWidth="1"/>
    <col min="24" max="24" width="9.28515625" bestFit="1" customWidth="1"/>
    <col min="25" max="25" width="11.85546875" bestFit="1" customWidth="1"/>
  </cols>
  <sheetData>
    <row r="1" spans="2:25">
      <c r="B1" s="30"/>
      <c r="C1" s="30" t="s">
        <v>148</v>
      </c>
      <c r="D1" s="30" t="s">
        <v>155</v>
      </c>
      <c r="E1" s="30" t="s">
        <v>157</v>
      </c>
      <c r="F1" s="30" t="s">
        <v>21</v>
      </c>
      <c r="G1" s="30" t="s">
        <v>22</v>
      </c>
      <c r="H1" s="30" t="s">
        <v>18</v>
      </c>
      <c r="I1" s="31">
        <v>22505.615864166</v>
      </c>
      <c r="J1" s="30">
        <f>I1*I18/1000000</f>
        <v>180.044926913328</v>
      </c>
      <c r="K1" s="34"/>
      <c r="L1" s="30"/>
      <c r="M1" s="30" t="s">
        <v>137</v>
      </c>
      <c r="N1" s="30"/>
      <c r="O1" s="30"/>
      <c r="P1" s="30"/>
      <c r="Q1" s="160" t="s">
        <v>140</v>
      </c>
      <c r="R1" s="30"/>
      <c r="S1" s="30"/>
      <c r="T1" s="30"/>
      <c r="U1" s="30"/>
      <c r="V1" s="30"/>
      <c r="W1" s="30"/>
      <c r="X1" s="30"/>
      <c r="Y1" s="30"/>
    </row>
    <row r="2" spans="2:25">
      <c r="B2" s="30" t="s">
        <v>238</v>
      </c>
      <c r="C2" s="30">
        <f>0.367*28153646.57^0.77*I30/I28</f>
        <v>241309.62617696292</v>
      </c>
      <c r="D2" s="30" t="s">
        <v>167</v>
      </c>
      <c r="E2" s="30" t="s">
        <v>158</v>
      </c>
      <c r="F2" s="30">
        <v>47.823</v>
      </c>
      <c r="G2" s="30">
        <v>1732.91</v>
      </c>
      <c r="H2" s="30" t="s">
        <v>123</v>
      </c>
      <c r="I2" s="30">
        <v>496</v>
      </c>
      <c r="J2" s="30"/>
      <c r="K2" s="34"/>
      <c r="L2" s="30"/>
      <c r="M2" s="30"/>
      <c r="N2" s="30" t="s">
        <v>138</v>
      </c>
      <c r="O2" s="30">
        <f>11.2/I34</f>
        <v>8.4210526315789469</v>
      </c>
      <c r="P2" s="30"/>
      <c r="Q2" s="161" t="s">
        <v>141</v>
      </c>
      <c r="R2" s="33"/>
      <c r="S2" s="162"/>
      <c r="T2" s="30"/>
      <c r="U2" s="30"/>
      <c r="V2" s="30"/>
      <c r="W2" s="30"/>
      <c r="X2" s="30"/>
      <c r="Y2" s="30"/>
    </row>
    <row r="3" spans="2:25">
      <c r="B3" s="163" t="s">
        <v>17</v>
      </c>
      <c r="C3" s="30">
        <f>8880*7323.54^0.42*I30/I28</f>
        <v>450155.65357400099</v>
      </c>
      <c r="D3" s="30" t="s">
        <v>156</v>
      </c>
      <c r="E3" s="30" t="s">
        <v>158</v>
      </c>
      <c r="F3" s="30"/>
      <c r="G3" s="30"/>
      <c r="H3" s="30" t="s">
        <v>271</v>
      </c>
      <c r="I3" s="31">
        <f>0-R12</f>
        <v>-26645.319144183999</v>
      </c>
      <c r="J3" s="30"/>
      <c r="K3" s="34"/>
      <c r="L3" s="30"/>
      <c r="M3" s="30"/>
      <c r="N3" s="30" t="s">
        <v>139</v>
      </c>
      <c r="O3" s="30">
        <f>R8*I18*1000</f>
        <v>214288223.76000002</v>
      </c>
      <c r="P3" s="30"/>
      <c r="Q3" s="164" t="s">
        <v>111</v>
      </c>
      <c r="R3" s="34">
        <f>1000000*R4/R5*0.028317*24*365</f>
        <v>298483716.02076125</v>
      </c>
      <c r="S3" s="158" t="s">
        <v>142</v>
      </c>
      <c r="T3" s="30"/>
      <c r="U3" s="30"/>
      <c r="V3" s="30"/>
      <c r="W3" s="30"/>
      <c r="X3" s="30"/>
      <c r="Y3" s="30"/>
    </row>
    <row r="4" spans="2:25">
      <c r="B4" s="30" t="s">
        <v>0</v>
      </c>
      <c r="C4" s="30">
        <v>3170800</v>
      </c>
      <c r="D4" s="41" t="s">
        <v>170</v>
      </c>
      <c r="E4" s="41" t="s">
        <v>165</v>
      </c>
      <c r="F4" s="30">
        <v>222.255</v>
      </c>
      <c r="G4" s="30">
        <v>8053.64</v>
      </c>
      <c r="H4" s="30" t="s">
        <v>135</v>
      </c>
      <c r="I4" s="31">
        <f>(I1/32-0.417*1432.94)*44</f>
        <v>4653.6386932282512</v>
      </c>
      <c r="J4" s="30"/>
      <c r="K4" s="34"/>
      <c r="L4" s="30"/>
      <c r="M4" s="30"/>
      <c r="N4" s="30"/>
      <c r="O4" s="30">
        <f>10*O3/100</f>
        <v>21428822.376000002</v>
      </c>
      <c r="P4" s="30"/>
      <c r="Q4" s="164" t="s">
        <v>143</v>
      </c>
      <c r="R4" s="34">
        <v>556.4</v>
      </c>
      <c r="S4" s="158"/>
      <c r="T4" s="30"/>
      <c r="U4" s="30"/>
      <c r="V4" s="30"/>
      <c r="W4" s="30"/>
      <c r="X4" s="30"/>
      <c r="Y4" s="30"/>
    </row>
    <row r="5" spans="2:25">
      <c r="B5" s="30" t="s">
        <v>1</v>
      </c>
      <c r="C5" s="30">
        <f>(32000+70*1122.31^1.2)*I30/I29</f>
        <v>398439.27925246797</v>
      </c>
      <c r="D5" s="30" t="s">
        <v>160</v>
      </c>
      <c r="E5" s="30" t="s">
        <v>291</v>
      </c>
      <c r="F5" s="30"/>
      <c r="G5" s="30"/>
      <c r="H5" s="30" t="s">
        <v>136</v>
      </c>
      <c r="I5" s="30">
        <v>40.4</v>
      </c>
      <c r="J5" s="30" t="s">
        <v>301</v>
      </c>
      <c r="K5" s="34"/>
      <c r="L5" s="30"/>
      <c r="M5" s="30"/>
      <c r="N5" s="30"/>
      <c r="O5" s="30"/>
      <c r="P5" s="30"/>
      <c r="Q5" s="165" t="s">
        <v>144</v>
      </c>
      <c r="R5" s="35">
        <v>462.4</v>
      </c>
      <c r="S5" s="166"/>
      <c r="T5" s="30"/>
      <c r="U5" s="30"/>
      <c r="V5" s="30"/>
      <c r="W5" s="30"/>
      <c r="X5" s="30"/>
      <c r="Y5" s="30"/>
    </row>
    <row r="6" spans="2:25">
      <c r="B6" s="30" t="s">
        <v>2</v>
      </c>
      <c r="C6" s="30">
        <f>(11600+34*2540.12^0.85)*I30/I29</f>
        <v>43282.348034478993</v>
      </c>
      <c r="D6" s="30" t="s">
        <v>161</v>
      </c>
      <c r="E6" s="30" t="s">
        <v>291</v>
      </c>
      <c r="F6" s="30"/>
      <c r="G6" s="30"/>
      <c r="H6" s="30" t="s">
        <v>272</v>
      </c>
      <c r="I6" s="31">
        <f>I3+G24-G21</f>
        <v>-24729.772912257551</v>
      </c>
      <c r="J6" s="30"/>
      <c r="K6" s="3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2:25">
      <c r="B7" s="30" t="s">
        <v>3</v>
      </c>
      <c r="C7" s="30">
        <f>(4*32000+70*(49.59+52.33+8.07+68.96)^1.2)*I30/I29</f>
        <v>184867.19909978251</v>
      </c>
      <c r="D7" s="30" t="s">
        <v>160</v>
      </c>
      <c r="E7" s="30" t="s">
        <v>292</v>
      </c>
      <c r="F7" s="30">
        <v>-55.47</v>
      </c>
      <c r="G7" s="30">
        <v>-1665.46</v>
      </c>
      <c r="H7" s="30" t="s">
        <v>23</v>
      </c>
      <c r="I7" s="30">
        <f>18/1.33</f>
        <v>13.533834586466165</v>
      </c>
      <c r="J7" s="30"/>
      <c r="K7" s="34"/>
      <c r="L7" s="30"/>
      <c r="M7" s="30"/>
      <c r="N7" s="30"/>
      <c r="O7" s="30"/>
      <c r="P7" s="30"/>
      <c r="Q7" s="161" t="s">
        <v>145</v>
      </c>
      <c r="R7" s="33">
        <v>0.15</v>
      </c>
      <c r="S7" s="162"/>
      <c r="T7" s="30"/>
      <c r="U7" s="30"/>
      <c r="V7" s="30"/>
      <c r="W7" s="30"/>
      <c r="X7" s="30"/>
      <c r="Y7" s="30"/>
    </row>
    <row r="8" spans="2:25">
      <c r="B8" s="163" t="s">
        <v>150</v>
      </c>
      <c r="C8" s="30">
        <f>(580000+20000*(15485.5/I31)^0.6)*I30/I29+(1400*((15485.5-(23036.7-14792.3))/I31)^0.75)*I30/I28</f>
        <v>11355464.538527446</v>
      </c>
      <c r="D8" s="30" t="s">
        <v>240</v>
      </c>
      <c r="E8" s="41" t="s">
        <v>293</v>
      </c>
      <c r="F8" s="30">
        <f>432.715+381.681+385.729</f>
        <v>1200.125</v>
      </c>
      <c r="G8" s="30">
        <f>1936.91+1708.47+1726.59</f>
        <v>5371.97</v>
      </c>
      <c r="H8" s="30" t="s">
        <v>171</v>
      </c>
      <c r="I8" s="30">
        <f>(36*R11*32/78.1/1000*22)*I30/I27</f>
        <v>3.1057996768870928</v>
      </c>
      <c r="J8" s="30" t="s">
        <v>175</v>
      </c>
      <c r="K8" s="34"/>
      <c r="L8" s="30"/>
      <c r="M8" s="30"/>
      <c r="N8" s="30"/>
      <c r="O8" s="30"/>
      <c r="P8" s="30"/>
      <c r="Q8" s="165" t="s">
        <v>146</v>
      </c>
      <c r="R8" s="35">
        <f>0.15*R5*R3*0.0000002931/0.028317/8000</f>
        <v>26.786027970000003</v>
      </c>
      <c r="S8" s="166" t="s">
        <v>147</v>
      </c>
      <c r="T8" s="30"/>
      <c r="U8" s="30"/>
      <c r="V8" s="30"/>
      <c r="W8" s="30"/>
      <c r="X8" s="30"/>
      <c r="Y8" s="30"/>
    </row>
    <row r="9" spans="2:25">
      <c r="B9" s="30" t="s">
        <v>5</v>
      </c>
      <c r="C9" s="30">
        <f>(8000+240*(13.544/I32)^0.9)*I30/I29</f>
        <v>12234.336453565069</v>
      </c>
      <c r="D9" s="30" t="s">
        <v>163</v>
      </c>
      <c r="E9" s="30" t="s">
        <v>291</v>
      </c>
      <c r="F9" s="30">
        <v>3.9409999999999998</v>
      </c>
      <c r="G9" s="30">
        <v>17.6403</v>
      </c>
      <c r="H9" s="30" t="s">
        <v>172</v>
      </c>
      <c r="I9" s="30">
        <f>(306*R11*32/1000)*I30/I27</f>
        <v>93.717505250068029</v>
      </c>
      <c r="J9" s="30" t="s">
        <v>175</v>
      </c>
      <c r="K9" s="3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2:25">
      <c r="B10" s="30" t="s">
        <v>7</v>
      </c>
      <c r="C10" s="30">
        <f>(32000+70*60.9^1.2)*I30/I29</f>
        <v>47189.865815075151</v>
      </c>
      <c r="D10" s="30" t="s">
        <v>160</v>
      </c>
      <c r="E10" s="30" t="s">
        <v>291</v>
      </c>
      <c r="F10" s="30"/>
      <c r="G10" s="30"/>
      <c r="H10" s="30" t="s">
        <v>224</v>
      </c>
      <c r="I10" s="30"/>
      <c r="J10" s="30" t="s">
        <v>243</v>
      </c>
      <c r="K10" s="34"/>
      <c r="L10" s="30" t="s">
        <v>244</v>
      </c>
      <c r="M10" s="30"/>
      <c r="N10" s="30"/>
      <c r="O10" s="30"/>
      <c r="P10" s="30"/>
      <c r="Q10" s="30" t="s">
        <v>173</v>
      </c>
      <c r="R10" s="167">
        <v>16723.417594269999</v>
      </c>
      <c r="S10" s="30"/>
      <c r="T10" s="30"/>
      <c r="U10" s="30"/>
      <c r="V10" s="30"/>
      <c r="W10" s="30"/>
      <c r="X10" s="30"/>
      <c r="Y10" s="30"/>
    </row>
    <row r="11" spans="2:25">
      <c r="B11" s="30" t="s">
        <v>6</v>
      </c>
      <c r="C11" s="30">
        <f>(32000+70*49.53^1.2)*I30/I29</f>
        <v>44779.562738049201</v>
      </c>
      <c r="D11" s="30" t="s">
        <v>160</v>
      </c>
      <c r="E11" s="30" t="s">
        <v>291</v>
      </c>
      <c r="F11" s="30"/>
      <c r="G11" s="30"/>
      <c r="H11" s="30" t="s">
        <v>265</v>
      </c>
      <c r="I11" s="77">
        <f>(L11/1000*(U13+U14)+L11*(0.8*U15+0.2*U16))/1000000</f>
        <v>0.50758612959966098</v>
      </c>
      <c r="J11" s="30">
        <f>R18/R19/1000*I18/V27</f>
        <v>379776.05027852795</v>
      </c>
      <c r="K11" s="34" t="s">
        <v>261</v>
      </c>
      <c r="L11" s="30">
        <f>T18/T19/1000</f>
        <v>16216.809252385334</v>
      </c>
      <c r="M11" s="30" t="s">
        <v>210</v>
      </c>
      <c r="N11" s="30"/>
      <c r="O11" s="30"/>
      <c r="P11" s="30"/>
      <c r="Q11" s="30" t="s">
        <v>174</v>
      </c>
      <c r="R11" s="167">
        <v>5.4352629788556204</v>
      </c>
      <c r="S11" s="30"/>
      <c r="T11" s="30"/>
      <c r="U11" s="30"/>
      <c r="V11" s="30"/>
      <c r="W11" s="30"/>
      <c r="X11" s="30"/>
      <c r="Y11" s="30"/>
    </row>
    <row r="12" spans="2:25">
      <c r="B12" s="30" t="s">
        <v>8</v>
      </c>
      <c r="C12" s="30">
        <v>1906200</v>
      </c>
      <c r="D12" s="30" t="s">
        <v>164</v>
      </c>
      <c r="E12" s="41" t="s">
        <v>165</v>
      </c>
      <c r="F12" s="30">
        <f>-70561900*0.00000246</f>
        <v>-173.58227400000001</v>
      </c>
      <c r="G12" s="30">
        <f>F12*G7/F7</f>
        <v>-5211.724068073554</v>
      </c>
      <c r="H12" s="30" t="s">
        <v>266</v>
      </c>
      <c r="I12" s="77">
        <f>J12/1000000</f>
        <v>1.1559786280336135</v>
      </c>
      <c r="J12" s="41">
        <f>R25*X27</f>
        <v>1155978.6280336136</v>
      </c>
      <c r="K12" s="34" t="s">
        <v>31</v>
      </c>
      <c r="L12" s="30"/>
      <c r="M12" s="30"/>
      <c r="N12" s="30"/>
      <c r="O12" s="30"/>
      <c r="P12" s="30"/>
      <c r="Q12" s="30" t="s">
        <v>182</v>
      </c>
      <c r="R12" s="30">
        <v>26645.319144183999</v>
      </c>
      <c r="S12" s="30"/>
      <c r="T12" s="30" t="s">
        <v>244</v>
      </c>
      <c r="U12" s="30"/>
      <c r="V12" s="30"/>
      <c r="W12" s="30"/>
      <c r="X12" s="30"/>
      <c r="Y12" s="30"/>
    </row>
    <row r="13" spans="2:25">
      <c r="B13" s="30" t="s">
        <v>9</v>
      </c>
      <c r="C13" s="30">
        <f>(6*32000+70*(235.9+36.77+16.02+134.15+14.24+485.603)^1.2)*I30/I29</f>
        <v>503647.48452293983</v>
      </c>
      <c r="D13" s="30" t="s">
        <v>160</v>
      </c>
      <c r="E13" s="30" t="s">
        <v>292</v>
      </c>
      <c r="F13" s="45">
        <v>-182.261</v>
      </c>
      <c r="G13" s="45">
        <v>-5472.23</v>
      </c>
      <c r="H13" s="30" t="s">
        <v>267</v>
      </c>
      <c r="I13" s="77">
        <f>(R21*T21+R22*T22+R23*T23+R24*T24*1000)/1000000</f>
        <v>3.89806768</v>
      </c>
      <c r="J13" s="30">
        <f>R20</f>
        <v>242.84</v>
      </c>
      <c r="K13" s="34" t="s">
        <v>262</v>
      </c>
      <c r="L13" s="30"/>
      <c r="M13" s="30"/>
      <c r="N13" s="30"/>
      <c r="O13" s="30"/>
      <c r="P13" s="30"/>
      <c r="Q13" s="30"/>
      <c r="R13" s="30"/>
      <c r="S13" s="30"/>
      <c r="T13" s="30" t="s">
        <v>246</v>
      </c>
      <c r="U13" s="30">
        <v>5000</v>
      </c>
      <c r="V13" s="30" t="s">
        <v>209</v>
      </c>
      <c r="W13" s="30"/>
      <c r="X13" s="30"/>
      <c r="Y13" s="30"/>
    </row>
    <row r="14" spans="2:25">
      <c r="B14" s="30" t="s">
        <v>10</v>
      </c>
      <c r="C14" s="30">
        <f>(11600+34*5715.264^0.85)*I30/I29</f>
        <v>73204.419195224793</v>
      </c>
      <c r="D14" s="30" t="s">
        <v>161</v>
      </c>
      <c r="E14" s="30" t="s">
        <v>291</v>
      </c>
      <c r="F14" s="30"/>
      <c r="G14" s="30"/>
      <c r="H14" s="30" t="s">
        <v>132</v>
      </c>
      <c r="I14" s="30">
        <f>FCI!D44/I33</f>
        <v>130.42219307009154</v>
      </c>
      <c r="J14" s="30"/>
      <c r="K14" s="34"/>
      <c r="L14" s="30"/>
      <c r="M14" s="30"/>
      <c r="N14" s="30"/>
      <c r="O14" s="30"/>
      <c r="P14" s="30"/>
      <c r="Q14" s="30" t="s">
        <v>198</v>
      </c>
      <c r="R14" s="30">
        <f>'BFG utility'!G4</f>
        <v>40260.699999999997</v>
      </c>
      <c r="S14" s="30"/>
      <c r="T14" s="30" t="s">
        <v>245</v>
      </c>
      <c r="U14" s="30">
        <v>300</v>
      </c>
      <c r="V14" s="30" t="s">
        <v>209</v>
      </c>
      <c r="W14" s="30"/>
      <c r="X14" s="30"/>
      <c r="Y14" s="30"/>
    </row>
    <row r="15" spans="2:25">
      <c r="B15" s="163" t="s">
        <v>151</v>
      </c>
      <c r="C15" s="30">
        <f>(580000+20000*(337.9/I31)^0.6-1100+2100*(337.9/I31)^0.6)*I30/I29</f>
        <v>1657486.3731703218</v>
      </c>
      <c r="D15" s="30" t="s">
        <v>254</v>
      </c>
      <c r="E15" s="30" t="s">
        <v>291</v>
      </c>
      <c r="F15" s="30">
        <v>16.52</v>
      </c>
      <c r="G15" s="30">
        <v>73.930000000000007</v>
      </c>
      <c r="H15" s="30" t="s">
        <v>126</v>
      </c>
      <c r="I15" s="30">
        <v>30</v>
      </c>
      <c r="J15" s="30"/>
      <c r="K15" s="34"/>
      <c r="L15" s="30"/>
      <c r="M15" s="30"/>
      <c r="N15" s="30"/>
      <c r="O15" s="30"/>
      <c r="P15" s="30"/>
      <c r="Q15" s="30"/>
      <c r="R15" s="30" t="s">
        <v>243</v>
      </c>
      <c r="S15" s="30"/>
      <c r="T15" s="30" t="s">
        <v>247</v>
      </c>
      <c r="U15" s="30">
        <v>20</v>
      </c>
      <c r="V15" s="30" t="s">
        <v>222</v>
      </c>
      <c r="W15" s="30"/>
      <c r="X15" s="30"/>
      <c r="Y15" s="30"/>
    </row>
    <row r="16" spans="2:25">
      <c r="B16" s="30" t="s">
        <v>12</v>
      </c>
      <c r="C16" s="30">
        <f>(11600+34*5942.06^0.85)*I30/I29</f>
        <v>75224.860495689791</v>
      </c>
      <c r="D16" s="30" t="s">
        <v>161</v>
      </c>
      <c r="E16" s="41" t="s">
        <v>294</v>
      </c>
      <c r="F16" s="30"/>
      <c r="G16" s="30"/>
      <c r="H16" s="30" t="s">
        <v>127</v>
      </c>
      <c r="I16" s="30">
        <v>0.15</v>
      </c>
      <c r="J16" s="30"/>
      <c r="K16" s="34"/>
      <c r="L16" s="30"/>
      <c r="M16" s="30"/>
      <c r="N16" s="30"/>
      <c r="O16" s="30"/>
      <c r="P16" s="30"/>
      <c r="Q16" s="30" t="s">
        <v>206</v>
      </c>
      <c r="R16" s="30">
        <v>3.5</v>
      </c>
      <c r="S16" s="30" t="s">
        <v>208</v>
      </c>
      <c r="T16" s="30" t="s">
        <v>248</v>
      </c>
      <c r="U16" s="30">
        <v>50</v>
      </c>
      <c r="V16" s="30" t="s">
        <v>222</v>
      </c>
      <c r="W16" s="30"/>
      <c r="X16" s="30"/>
      <c r="Y16" s="30"/>
    </row>
    <row r="17" spans="2:25">
      <c r="B17" s="30" t="s">
        <v>13</v>
      </c>
      <c r="C17" s="45">
        <v>263100</v>
      </c>
      <c r="D17" s="30" t="s">
        <v>166</v>
      </c>
      <c r="E17" s="30" t="s">
        <v>165</v>
      </c>
      <c r="F17" s="30">
        <f>126.654+76.478</f>
        <v>203.13200000000001</v>
      </c>
      <c r="G17" s="30">
        <v>2285.75</v>
      </c>
      <c r="H17" s="30" t="s">
        <v>128</v>
      </c>
      <c r="I17" s="30">
        <f>(1-(1+I16)^-I15)/I16</f>
        <v>6.5659796367074357</v>
      </c>
      <c r="J17" s="30"/>
      <c r="K17" s="34"/>
      <c r="L17" s="30"/>
      <c r="M17" s="30"/>
      <c r="N17" s="30"/>
      <c r="O17" s="30"/>
      <c r="P17" s="30"/>
      <c r="Q17" s="30" t="s">
        <v>207</v>
      </c>
      <c r="R17" s="30">
        <v>830</v>
      </c>
      <c r="S17" s="30" t="s">
        <v>209</v>
      </c>
      <c r="T17" s="30"/>
      <c r="U17" s="30"/>
      <c r="V17" s="30"/>
      <c r="W17" s="30"/>
      <c r="X17" s="30"/>
      <c r="Y17" s="30"/>
    </row>
    <row r="18" spans="2:25">
      <c r="B18" s="163" t="s">
        <v>16</v>
      </c>
      <c r="C18" s="30">
        <f>0.367*5922760^0.77*I30/I28</f>
        <v>72656.846887078282</v>
      </c>
      <c r="D18" s="30" t="s">
        <v>167</v>
      </c>
      <c r="E18" s="30" t="s">
        <v>158</v>
      </c>
      <c r="F18" s="30">
        <v>-15.56</v>
      </c>
      <c r="G18" s="30">
        <v>-410.88</v>
      </c>
      <c r="H18" s="30" t="s">
        <v>129</v>
      </c>
      <c r="I18" s="30">
        <v>8000</v>
      </c>
      <c r="J18" s="30"/>
      <c r="K18" s="34"/>
      <c r="L18" s="30"/>
      <c r="M18" s="30" t="s">
        <v>185</v>
      </c>
      <c r="N18" s="30"/>
      <c r="O18" s="30"/>
      <c r="P18" s="30"/>
      <c r="Q18" s="30" t="s">
        <v>212</v>
      </c>
      <c r="R18" s="163">
        <v>142416018.85444799</v>
      </c>
      <c r="S18" s="30" t="s">
        <v>211</v>
      </c>
      <c r="T18" s="163">
        <v>142416018.85444799</v>
      </c>
      <c r="U18" s="30" t="s">
        <v>211</v>
      </c>
      <c r="V18" s="30"/>
      <c r="W18" s="30"/>
      <c r="X18" s="30"/>
      <c r="Y18" s="30"/>
    </row>
    <row r="19" spans="2:25">
      <c r="B19" s="163" t="s">
        <v>152</v>
      </c>
      <c r="C19" s="30">
        <f>(580000+20000*(14792.3/I31)^0.6)*I30/I29</f>
        <v>9414214.7948001586</v>
      </c>
      <c r="D19" s="30" t="s">
        <v>162</v>
      </c>
      <c r="E19" s="30" t="s">
        <v>291</v>
      </c>
      <c r="F19" s="30">
        <f>363.363+390.372+392.671</f>
        <v>1146.4059999999999</v>
      </c>
      <c r="G19" s="30">
        <f>1626.47+1747.37+1757.66</f>
        <v>5131.5</v>
      </c>
      <c r="H19" s="30"/>
      <c r="I19" s="30"/>
      <c r="J19" s="30"/>
      <c r="K19" s="34"/>
      <c r="L19" s="30"/>
      <c r="M19" s="30"/>
      <c r="N19" s="30" t="s">
        <v>186</v>
      </c>
      <c r="O19" s="30" t="s">
        <v>187</v>
      </c>
      <c r="P19" s="30" t="s">
        <v>188</v>
      </c>
      <c r="Q19" s="30" t="s">
        <v>213</v>
      </c>
      <c r="R19" s="30">
        <v>0.75</v>
      </c>
      <c r="S19" s="30" t="s">
        <v>214</v>
      </c>
      <c r="T19" s="30">
        <f>43.91/1000*60/0.3</f>
        <v>8.782</v>
      </c>
      <c r="U19" s="30" t="s">
        <v>214</v>
      </c>
      <c r="V19" s="30"/>
      <c r="W19" s="30"/>
      <c r="X19" s="30"/>
      <c r="Y19" s="30"/>
    </row>
    <row r="20" spans="2:25">
      <c r="B20" s="30" t="s">
        <v>15</v>
      </c>
      <c r="C20" s="45">
        <v>11117900</v>
      </c>
      <c r="D20" s="30" t="s">
        <v>168</v>
      </c>
      <c r="E20" s="30" t="s">
        <v>165</v>
      </c>
      <c r="F20" s="30">
        <v>-1785.34</v>
      </c>
      <c r="G20" s="30">
        <v>-7991.5</v>
      </c>
      <c r="H20" s="30" t="s">
        <v>225</v>
      </c>
      <c r="I20" s="30">
        <f>'Maintenance &amp; Operations cost'!I39</f>
        <v>45.971963779262424</v>
      </c>
      <c r="J20" s="30"/>
      <c r="K20" s="34"/>
      <c r="L20" s="30"/>
      <c r="M20" s="30" t="s">
        <v>189</v>
      </c>
      <c r="N20" s="30">
        <v>468</v>
      </c>
      <c r="O20" s="30">
        <v>496</v>
      </c>
      <c r="P20" s="30">
        <v>460</v>
      </c>
      <c r="Q20" s="52" t="s">
        <v>215</v>
      </c>
      <c r="R20" s="163">
        <v>242.84</v>
      </c>
      <c r="S20" s="30" t="s">
        <v>216</v>
      </c>
      <c r="T20" s="30" t="s">
        <v>217</v>
      </c>
      <c r="U20" s="30"/>
      <c r="V20" s="30" t="s">
        <v>223</v>
      </c>
      <c r="W20" s="30"/>
      <c r="X20" s="30"/>
      <c r="Y20" s="30"/>
    </row>
    <row r="21" spans="2:25">
      <c r="B21" s="30" t="s">
        <v>199</v>
      </c>
      <c r="C21" s="30"/>
      <c r="D21" s="30"/>
      <c r="E21" s="30"/>
      <c r="F21" s="30">
        <v>0</v>
      </c>
      <c r="G21" s="30">
        <f>'BFG utility'!G4</f>
        <v>40260.699999999997</v>
      </c>
      <c r="H21" s="30" t="s">
        <v>226</v>
      </c>
      <c r="I21" s="30">
        <f>(I2*I1/1000*I18+I7*(-I6)*I18/1000-O3*O2/100)/1000000</f>
        <v>73.934468890548331</v>
      </c>
      <c r="J21" s="30"/>
      <c r="K21" s="34"/>
      <c r="L21" s="30"/>
      <c r="M21" s="30" t="s">
        <v>191</v>
      </c>
      <c r="N21" s="30">
        <f>(N20*I1/1000*I18+I7*(-I6)*I18/1000-O3*O2/100)/1000000</f>
        <v>68.893210936975152</v>
      </c>
      <c r="O21" s="30">
        <f>(O20*I1/1000*I18+I7*(-I6)*I18/1000-O3*O2/100)/1000000</f>
        <v>73.934468890548331</v>
      </c>
      <c r="P21" s="30">
        <f>(P20*I1/1000*I18+I7*(-I6)*I18/1000-O3*O2/100)/1000000</f>
        <v>67.452851521668535</v>
      </c>
      <c r="Q21" s="30" t="s">
        <v>218</v>
      </c>
      <c r="R21" s="30">
        <f>R20*0.55</f>
        <v>133.56200000000001</v>
      </c>
      <c r="S21" s="30" t="s">
        <v>216</v>
      </c>
      <c r="T21" s="30">
        <v>9600</v>
      </c>
      <c r="U21" s="30" t="s">
        <v>209</v>
      </c>
      <c r="V21" s="30">
        <f>T21*R21</f>
        <v>1282195.2000000002</v>
      </c>
      <c r="W21" s="30"/>
      <c r="X21" s="30"/>
      <c r="Y21" s="30"/>
    </row>
    <row r="22" spans="2:25">
      <c r="B22" s="30" t="s">
        <v>269</v>
      </c>
      <c r="C22" s="30">
        <f>I11+I12+I13</f>
        <v>5.5616324376332749</v>
      </c>
      <c r="D22" s="30"/>
      <c r="E22" s="30"/>
      <c r="F22" s="30"/>
      <c r="G22" s="30"/>
      <c r="H22" s="30" t="s">
        <v>133</v>
      </c>
      <c r="I22" s="78">
        <f>I17*(I21-I20)-I14</f>
        <v>53.179046081939305</v>
      </c>
      <c r="J22" s="30"/>
      <c r="K22" s="34"/>
      <c r="L22" s="30"/>
      <c r="M22" s="30" t="s">
        <v>179</v>
      </c>
      <c r="N22" s="30">
        <f>I17*(N21-I20-I19)-I14</f>
        <v>20.078249015388423</v>
      </c>
      <c r="O22" s="30">
        <f>I17*(O21-I20-I19)-I14</f>
        <v>53.179046081939305</v>
      </c>
      <c r="P22" s="30">
        <f>I17*(P21-I20-I19)-I14</f>
        <v>10.620878424945346</v>
      </c>
      <c r="Q22" s="30" t="s">
        <v>219</v>
      </c>
      <c r="R22" s="30">
        <f>R20*0.36</f>
        <v>87.422399999999996</v>
      </c>
      <c r="S22" s="30" t="s">
        <v>216</v>
      </c>
      <c r="T22" s="30">
        <v>300</v>
      </c>
      <c r="U22" s="30" t="s">
        <v>209</v>
      </c>
      <c r="V22" s="30">
        <f>T22*R22</f>
        <v>26226.719999999998</v>
      </c>
      <c r="W22" s="30"/>
      <c r="X22" s="30"/>
      <c r="Y22" s="30"/>
    </row>
    <row r="23" spans="2:25">
      <c r="B23" s="30" t="s">
        <v>270</v>
      </c>
      <c r="C23" s="30">
        <f>I8+I5*I4/1000/1000000</f>
        <v>3.1059876838902993</v>
      </c>
      <c r="D23" s="30"/>
      <c r="E23" s="30"/>
      <c r="F23" s="30"/>
      <c r="G23" s="30"/>
      <c r="H23" s="30" t="s">
        <v>134</v>
      </c>
      <c r="I23" s="78">
        <f>I14/(I21-I20)</f>
        <v>4.6641812867278487</v>
      </c>
      <c r="J23" s="30"/>
      <c r="K23" s="30"/>
      <c r="L23" s="30"/>
      <c r="M23" s="168" t="s">
        <v>180</v>
      </c>
      <c r="N23" s="30">
        <f>I14/(N21-I20-I19)</f>
        <v>5.6900129461849991</v>
      </c>
      <c r="O23" s="30">
        <f>I14/(O21-I20-I19)</f>
        <v>4.6641812867278487</v>
      </c>
      <c r="P23" s="30">
        <f>I14/(P21-I20-I19)</f>
        <v>6.0715457682235776</v>
      </c>
      <c r="Q23" s="30" t="s">
        <v>220</v>
      </c>
      <c r="R23" s="30">
        <f>R20*0.8</f>
        <v>194.27200000000002</v>
      </c>
      <c r="S23" s="30" t="s">
        <v>216</v>
      </c>
      <c r="T23" s="30">
        <v>830</v>
      </c>
      <c r="U23" s="30" t="s">
        <v>209</v>
      </c>
      <c r="V23" s="30">
        <f>T23*R23</f>
        <v>161245.76000000001</v>
      </c>
      <c r="W23" s="30"/>
      <c r="X23" s="30"/>
      <c r="Y23" s="30"/>
    </row>
    <row r="24" spans="2:25" ht="15.75" thickBot="1">
      <c r="B24" s="30" t="s">
        <v>24</v>
      </c>
      <c r="C24" s="31">
        <f>SUM(C2:C23)/1000000</f>
        <v>41.032165856363356</v>
      </c>
      <c r="D24" s="30"/>
      <c r="E24" s="30"/>
      <c r="F24" s="31">
        <f>SUM(F2:F21)+I9</f>
        <v>721.70623125006784</v>
      </c>
      <c r="G24" s="31">
        <f>SUM(G2:G21)</f>
        <v>42176.246231926445</v>
      </c>
      <c r="H24" s="30" t="s">
        <v>184</v>
      </c>
      <c r="I24" s="78">
        <f>(I2*I1/1000*I18-O3*O2/100)/1000000</f>
        <v>71.256959642905414</v>
      </c>
      <c r="J24" s="30"/>
      <c r="K24" s="30"/>
      <c r="L24" s="30"/>
      <c r="M24" s="30"/>
      <c r="N24" s="30"/>
      <c r="O24" s="30"/>
      <c r="P24" s="30"/>
      <c r="Q24" s="30" t="s">
        <v>221</v>
      </c>
      <c r="R24" s="30">
        <f>R20*0.1</f>
        <v>24.284000000000002</v>
      </c>
      <c r="S24" s="30" t="s">
        <v>216</v>
      </c>
      <c r="T24" s="30">
        <v>100</v>
      </c>
      <c r="U24" s="30" t="s">
        <v>222</v>
      </c>
      <c r="V24" s="30">
        <f>T24*R24*1000</f>
        <v>2428400</v>
      </c>
      <c r="W24" s="30"/>
      <c r="X24" s="30"/>
      <c r="Y24" s="30"/>
    </row>
    <row r="25" spans="2:25" ht="15.75" thickBot="1">
      <c r="B25" s="30" t="s">
        <v>306</v>
      </c>
      <c r="C25" s="30"/>
      <c r="D25" s="30"/>
      <c r="E25" s="30"/>
      <c r="F25" s="30"/>
      <c r="G25" s="30">
        <f>10102.8+1377.55</f>
        <v>11480.349999999999</v>
      </c>
      <c r="H25" s="30" t="s">
        <v>183</v>
      </c>
      <c r="I25" s="78">
        <f>(0-I22*1000000)/(I15*I18*(-I6)/1000)</f>
        <v>-8.9600239945963729</v>
      </c>
      <c r="J25" s="30"/>
      <c r="K25" s="30"/>
      <c r="L25" s="30"/>
      <c r="M25" s="30"/>
      <c r="N25" s="30"/>
      <c r="O25" s="30"/>
      <c r="P25" s="30"/>
      <c r="Q25" s="169" t="s">
        <v>227</v>
      </c>
      <c r="R25" s="54">
        <v>1000</v>
      </c>
      <c r="S25" s="54" t="s">
        <v>209</v>
      </c>
      <c r="T25" s="54">
        <v>5.24</v>
      </c>
      <c r="U25" s="54" t="s">
        <v>234</v>
      </c>
      <c r="V25" s="54" t="s">
        <v>235</v>
      </c>
      <c r="W25" s="54"/>
      <c r="X25" s="54">
        <v>0.1</v>
      </c>
      <c r="Y25" s="55" t="s">
        <v>233</v>
      </c>
    </row>
    <row r="26" spans="2:25">
      <c r="B26" s="30" t="s">
        <v>307</v>
      </c>
      <c r="C26" s="30"/>
      <c r="D26" s="30"/>
      <c r="E26" s="30"/>
      <c r="F26" s="30"/>
      <c r="G26" s="30">
        <f>G24+G25</f>
        <v>53656.596231926444</v>
      </c>
      <c r="H26" s="169" t="s">
        <v>92</v>
      </c>
      <c r="I26" s="55"/>
      <c r="J26" s="30"/>
      <c r="K26" s="30"/>
      <c r="L26" s="30"/>
      <c r="M26" s="30"/>
      <c r="N26" s="30"/>
      <c r="O26" s="30"/>
      <c r="P26" s="30"/>
      <c r="Q26" s="151" t="s">
        <v>228</v>
      </c>
      <c r="R26" s="34">
        <v>158.4</v>
      </c>
      <c r="S26" s="34" t="s">
        <v>229</v>
      </c>
      <c r="T26" s="34">
        <f>V26*X26</f>
        <v>7140000</v>
      </c>
      <c r="U26" s="34" t="s">
        <v>242</v>
      </c>
      <c r="V26" s="34">
        <v>28000</v>
      </c>
      <c r="W26" s="34" t="s">
        <v>241</v>
      </c>
      <c r="X26" s="34">
        <v>255</v>
      </c>
      <c r="Y26" s="56" t="s">
        <v>230</v>
      </c>
    </row>
    <row r="27" spans="2:25" ht="15.75" thickBot="1">
      <c r="B27" s="30"/>
      <c r="C27" s="30"/>
      <c r="D27" s="30"/>
      <c r="E27" s="30"/>
      <c r="F27" s="30"/>
      <c r="G27" s="30"/>
      <c r="H27" s="151">
        <v>1988</v>
      </c>
      <c r="I27" s="56">
        <v>342.5</v>
      </c>
      <c r="J27" s="30"/>
      <c r="K27" s="30"/>
      <c r="L27" s="30"/>
      <c r="M27" s="30"/>
      <c r="N27" s="30"/>
      <c r="O27" s="30"/>
      <c r="P27" s="30"/>
      <c r="Q27" s="152" t="s">
        <v>232</v>
      </c>
      <c r="R27" s="57">
        <f>R26*T27/T26</f>
        <v>245.11845378151261</v>
      </c>
      <c r="S27" s="57" t="s">
        <v>229</v>
      </c>
      <c r="T27" s="170">
        <v>11048900</v>
      </c>
      <c r="U27" s="57" t="s">
        <v>242</v>
      </c>
      <c r="V27" s="57">
        <v>4000</v>
      </c>
      <c r="W27" s="57" t="s">
        <v>231</v>
      </c>
      <c r="X27" s="57">
        <f>R27*T25*(1-X25)</f>
        <v>1155.9786280336136</v>
      </c>
      <c r="Y27" s="58" t="s">
        <v>268</v>
      </c>
    </row>
    <row r="28" spans="2:25">
      <c r="B28" s="30"/>
      <c r="C28" s="30"/>
      <c r="D28" s="30"/>
      <c r="E28" s="30"/>
      <c r="F28" s="30"/>
      <c r="G28" s="30"/>
      <c r="H28" s="151">
        <v>2006</v>
      </c>
      <c r="I28" s="56">
        <v>499.6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>
      <c r="B29" s="30"/>
      <c r="C29" s="30"/>
      <c r="D29" s="30"/>
      <c r="E29" s="30"/>
      <c r="F29" s="30"/>
      <c r="G29" s="30"/>
      <c r="H29" s="151">
        <v>2010</v>
      </c>
      <c r="I29" s="56">
        <v>532.9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15.75" thickBot="1">
      <c r="B30" s="30"/>
      <c r="C30" s="30"/>
      <c r="D30" s="30"/>
      <c r="E30" s="30"/>
      <c r="F30" s="30"/>
      <c r="G30" s="30"/>
      <c r="H30" s="152">
        <v>2018</v>
      </c>
      <c r="I30" s="58">
        <v>603.1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>
      <c r="B31" s="30"/>
      <c r="C31" s="30"/>
      <c r="D31" s="30"/>
      <c r="E31" s="30"/>
      <c r="F31" s="30"/>
      <c r="G31" s="30"/>
      <c r="H31" s="89" t="s">
        <v>149</v>
      </c>
      <c r="I31" s="30">
        <v>0.72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>
      <c r="B32" s="30"/>
      <c r="C32" s="30"/>
      <c r="D32" s="30"/>
      <c r="E32" s="30"/>
      <c r="F32" s="30"/>
      <c r="G32" s="30"/>
      <c r="H32" s="89" t="s">
        <v>169</v>
      </c>
      <c r="I32" s="30">
        <v>0.88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2:25">
      <c r="B33" s="30"/>
      <c r="C33" s="30"/>
      <c r="D33" s="30"/>
      <c r="E33" s="30"/>
      <c r="F33" s="30"/>
      <c r="G33" s="30"/>
      <c r="H33" s="30" t="s">
        <v>279</v>
      </c>
      <c r="I33" s="30">
        <v>1.27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>
      <c r="B34" s="30"/>
      <c r="C34" s="30"/>
      <c r="D34" s="30"/>
      <c r="E34" s="30"/>
      <c r="F34" s="30"/>
      <c r="G34" s="30"/>
      <c r="H34" s="30" t="s">
        <v>302</v>
      </c>
      <c r="I34" s="30">
        <v>1.33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K19"/>
  <sheetViews>
    <sheetView workbookViewId="0">
      <selection activeCell="G19" sqref="G19"/>
    </sheetView>
  </sheetViews>
  <sheetFormatPr defaultRowHeight="15"/>
  <cols>
    <col min="2" max="2" width="57" bestFit="1" customWidth="1"/>
    <col min="3" max="3" width="11.28515625" bestFit="1" customWidth="1"/>
    <col min="5" max="5" width="12.28515625" bestFit="1" customWidth="1"/>
    <col min="6" max="6" width="11.140625" bestFit="1" customWidth="1"/>
    <col min="7" max="7" width="11.85546875" bestFit="1" customWidth="1"/>
    <col min="8" max="8" width="16.140625" bestFit="1" customWidth="1"/>
  </cols>
  <sheetData>
    <row r="1" spans="2:11">
      <c r="B1" s="30"/>
      <c r="C1" s="30" t="s">
        <v>195</v>
      </c>
      <c r="D1" s="30" t="s">
        <v>176</v>
      </c>
      <c r="E1" s="30" t="s">
        <v>178</v>
      </c>
      <c r="F1" s="30" t="s">
        <v>177</v>
      </c>
      <c r="G1" s="30" t="s">
        <v>192</v>
      </c>
      <c r="H1" s="30" t="s">
        <v>236</v>
      </c>
      <c r="J1" s="30"/>
    </row>
    <row r="2" spans="2:11">
      <c r="B2" s="30" t="s">
        <v>258</v>
      </c>
      <c r="C2" s="30" t="s">
        <v>197</v>
      </c>
      <c r="D2" s="30" t="s">
        <v>197</v>
      </c>
      <c r="E2" s="30">
        <f>E3/'COG utility'!R10</f>
        <v>0.20253455855581359</v>
      </c>
      <c r="F2" s="30">
        <f>F3/'NG utility'!R10</f>
        <v>0.14853542859870392</v>
      </c>
      <c r="G2" s="30">
        <f>G3/'BFG utility'!R10</f>
        <v>3.1218678661644081</v>
      </c>
      <c r="H2" s="30">
        <f>H3/'NG utility with WGS'!R10</f>
        <v>0.15087406541020112</v>
      </c>
      <c r="J2" s="30"/>
      <c r="K2" s="47"/>
    </row>
    <row r="3" spans="2:11">
      <c r="B3" s="30" t="s">
        <v>201</v>
      </c>
      <c r="C3" s="30"/>
      <c r="D3" s="30"/>
      <c r="E3" s="30">
        <v>3387.07</v>
      </c>
      <c r="F3" s="30">
        <v>2484.02</v>
      </c>
      <c r="G3" s="30">
        <v>52208.3</v>
      </c>
      <c r="H3" s="30">
        <v>2523.13</v>
      </c>
      <c r="J3" s="30"/>
    </row>
    <row r="4" spans="2:11">
      <c r="B4" s="30" t="s">
        <v>202</v>
      </c>
      <c r="C4" s="30"/>
      <c r="D4" s="30"/>
      <c r="E4" s="30">
        <f>'COG utility'!I4</f>
        <v>3766.6895200000026</v>
      </c>
      <c r="F4" s="30">
        <f>'NG utility'!I4</f>
        <v>4653.6386932282512</v>
      </c>
      <c r="G4" s="30">
        <f>'BFG utility'!I4</f>
        <v>4653.6386932282512</v>
      </c>
      <c r="H4" s="30">
        <f>'NG utility with WGS'!I4</f>
        <v>5256.8961822481506</v>
      </c>
      <c r="J4" s="30"/>
    </row>
    <row r="5" spans="2:11">
      <c r="B5" s="30" t="s">
        <v>263</v>
      </c>
      <c r="C5" s="30"/>
      <c r="D5" s="30"/>
      <c r="E5" s="30">
        <f>'COG utility'!I4/'COG utility'!R10</f>
        <v>0.22523443541173044</v>
      </c>
      <c r="F5" s="30">
        <f>'NG utility'!I4/'NG utility'!R10</f>
        <v>0.27827079405245153</v>
      </c>
      <c r="G5" s="30">
        <f>'BFG utility'!I4/'BFG utility'!R10</f>
        <v>0.27827079405245153</v>
      </c>
      <c r="H5" s="30">
        <f>'NG utility with WGS'!I4/'NG utility with WGS'!I1</f>
        <v>0.22911507655699023</v>
      </c>
      <c r="J5" s="30"/>
    </row>
    <row r="6" spans="2:11">
      <c r="B6" s="30" t="s">
        <v>264</v>
      </c>
      <c r="E6" s="30">
        <f>'COG utility'!I1*'COG utility'!I18/1000000</f>
        <v>145.24160000000001</v>
      </c>
      <c r="F6" s="30">
        <f>'NG utility'!I1*'NG utility'!I18/1000000</f>
        <v>180.044926913328</v>
      </c>
      <c r="G6" s="30">
        <f>'BFG utility'!I1*'BFG utility'!I18/1000000</f>
        <v>180.044926913328</v>
      </c>
      <c r="H6" s="30">
        <f>'NG utility with WGS'!I1*'NG utility with WGS'!I18/1000000</f>
        <v>183.55478866762562</v>
      </c>
      <c r="J6" s="30"/>
    </row>
    <row r="7" spans="2:11">
      <c r="B7" s="30" t="s">
        <v>237</v>
      </c>
      <c r="C7" s="30"/>
      <c r="D7" s="30"/>
      <c r="E7" s="30">
        <f>'COG utility'!I1/'COG utility'!R10</f>
        <v>1.0856154190768148</v>
      </c>
      <c r="F7" s="30">
        <f>'NG utility'!I1/'NG utility'!R10</f>
        <v>1.3457545825966324</v>
      </c>
      <c r="G7" s="30">
        <f>'BFG utility'!I1/'BFG utility'!R10</f>
        <v>1.3457545825966324</v>
      </c>
      <c r="H7" s="30">
        <f>'NG utility with WGS'!I1/'NG utility with WGS'!R10</f>
        <v>1.371989215369154</v>
      </c>
      <c r="J7" s="30"/>
    </row>
    <row r="8" spans="2:11">
      <c r="B8" s="30" t="s">
        <v>181</v>
      </c>
      <c r="C8" s="30">
        <v>0</v>
      </c>
      <c r="D8" s="30">
        <v>68.53</v>
      </c>
      <c r="E8" s="44">
        <f>'COG utility'!I14</f>
        <v>147.94244746858783</v>
      </c>
      <c r="F8" s="44">
        <f>'NG utility'!I14</f>
        <v>130.42219307009154</v>
      </c>
      <c r="G8" s="44">
        <f>'BFG utility'!I14</f>
        <v>165.63618519901624</v>
      </c>
      <c r="H8" s="44">
        <f>'NG utility with WGS'!I14</f>
        <v>175.50573493302119</v>
      </c>
      <c r="J8" s="30"/>
    </row>
    <row r="9" spans="2:11" ht="18">
      <c r="B9" s="30" t="s">
        <v>203</v>
      </c>
      <c r="C9" s="30">
        <v>0</v>
      </c>
      <c r="D9" s="30">
        <v>11.25</v>
      </c>
      <c r="E9" s="30">
        <f>-'COG utility'!I6*8000/1000000</f>
        <v>215.58408495630576</v>
      </c>
      <c r="F9" s="30">
        <f>-'NG utility'!I6*8000/1000000</f>
        <v>197.83818329806041</v>
      </c>
      <c r="G9" s="30">
        <f>-'BFG utility'!I6*8000/1000000</f>
        <v>197.83818329806041</v>
      </c>
      <c r="H9" s="30">
        <f>-'NG utility with WGS'!I6*8000/1000000</f>
        <v>198.13580391679398</v>
      </c>
      <c r="J9" s="30"/>
    </row>
    <row r="10" spans="2:11">
      <c r="B10" s="30"/>
      <c r="C10" s="30"/>
      <c r="D10" s="30"/>
      <c r="E10" s="30"/>
      <c r="F10" s="30"/>
      <c r="G10" s="30"/>
      <c r="H10" s="30"/>
      <c r="J10" s="30"/>
    </row>
    <row r="11" spans="2:11">
      <c r="B11" s="30"/>
      <c r="C11" s="30"/>
      <c r="D11" s="30"/>
      <c r="E11" s="44"/>
      <c r="F11" s="44"/>
      <c r="G11" s="44"/>
      <c r="H11" s="44"/>
      <c r="J11" s="30"/>
    </row>
    <row r="12" spans="2:11">
      <c r="B12" s="30"/>
      <c r="C12" s="30"/>
      <c r="D12" s="30"/>
      <c r="E12" s="30"/>
      <c r="F12" s="30"/>
      <c r="G12" s="30"/>
      <c r="H12" s="30"/>
      <c r="J12" s="30"/>
    </row>
    <row r="13" spans="2:11">
      <c r="B13" s="30"/>
      <c r="C13" s="30"/>
      <c r="D13" s="30"/>
      <c r="E13" s="30"/>
      <c r="F13" s="30"/>
      <c r="G13" s="30"/>
      <c r="H13" s="30"/>
      <c r="J13" s="30"/>
    </row>
    <row r="14" spans="2:11">
      <c r="B14" s="30"/>
      <c r="C14" s="30"/>
      <c r="D14" s="30"/>
      <c r="E14" s="30"/>
      <c r="F14" s="30"/>
      <c r="G14" s="30"/>
      <c r="H14" s="30"/>
      <c r="J14" s="30"/>
    </row>
    <row r="15" spans="2:11">
      <c r="B15" s="30"/>
      <c r="E15" s="30"/>
      <c r="F15" s="30"/>
      <c r="G15" s="30"/>
      <c r="H15" s="30"/>
      <c r="J15" s="30"/>
    </row>
    <row r="16" spans="2:11">
      <c r="B16" s="30"/>
      <c r="E16" s="30"/>
      <c r="F16" s="30"/>
      <c r="G16" s="30"/>
      <c r="H16" s="30"/>
      <c r="J16" s="30"/>
    </row>
    <row r="17" spans="2:10">
      <c r="B17" s="30"/>
      <c r="E17" s="30"/>
      <c r="F17" s="30"/>
      <c r="G17" s="30"/>
      <c r="H17" s="30"/>
      <c r="J17" s="30"/>
    </row>
    <row r="18" spans="2:10">
      <c r="H18" s="30"/>
      <c r="J18" s="30"/>
    </row>
    <row r="19" spans="2:10">
      <c r="H19" s="30"/>
      <c r="J19" s="30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1:T20"/>
  <sheetViews>
    <sheetView workbookViewId="0">
      <selection activeCell="S11" sqref="S11"/>
    </sheetView>
  </sheetViews>
  <sheetFormatPr defaultRowHeight="15"/>
  <cols>
    <col min="3" max="3" width="47.42578125" bestFit="1" customWidth="1"/>
    <col min="4" max="4" width="16.42578125" customWidth="1"/>
    <col min="5" max="6" width="12.5703125" bestFit="1" customWidth="1"/>
    <col min="7" max="7" width="16.140625" bestFit="1" customWidth="1"/>
  </cols>
  <sheetData>
    <row r="1" spans="3:20">
      <c r="D1" s="30" t="s">
        <v>295</v>
      </c>
      <c r="E1" s="30" t="s">
        <v>296</v>
      </c>
      <c r="F1" s="30" t="s">
        <v>297</v>
      </c>
      <c r="G1" s="30" t="s">
        <v>298</v>
      </c>
      <c r="N1" t="s">
        <v>285</v>
      </c>
      <c r="O1" t="s">
        <v>286</v>
      </c>
      <c r="P1" t="s">
        <v>287</v>
      </c>
      <c r="Q1" t="s">
        <v>288</v>
      </c>
      <c r="R1" t="s">
        <v>289</v>
      </c>
    </row>
    <row r="2" spans="3:20">
      <c r="C2" t="s">
        <v>282</v>
      </c>
      <c r="D2" s="30">
        <f>'COG utility'!O3/1000000</f>
        <v>214.28822376000002</v>
      </c>
      <c r="E2" s="30">
        <f>'NG utility'!O3/1000000</f>
        <v>214.28822376000002</v>
      </c>
      <c r="F2" s="30">
        <f>'BFG utility'!O3/1000000</f>
        <v>214.28822376000002</v>
      </c>
      <c r="G2" s="30">
        <f>'NG utility with WGS'!O3/1000000</f>
        <v>214.28822376000002</v>
      </c>
      <c r="M2" s="51" t="s">
        <v>279</v>
      </c>
      <c r="N2" s="30">
        <v>1.25</v>
      </c>
      <c r="O2" s="30">
        <v>1</v>
      </c>
      <c r="P2" s="30">
        <v>0.88</v>
      </c>
      <c r="Q2" s="30">
        <v>9.0399999999999991</v>
      </c>
      <c r="R2" s="30">
        <v>3.54</v>
      </c>
    </row>
    <row r="3" spans="3:20" ht="25.5">
      <c r="C3" t="s">
        <v>283</v>
      </c>
      <c r="D3" s="30">
        <f>'COG utility'!I1*'COG utility'!I18/1000000</f>
        <v>145.24160000000001</v>
      </c>
      <c r="E3" s="30">
        <f>'NG utility'!I1*'NG utility'!I18/1000000</f>
        <v>180.044926913328</v>
      </c>
      <c r="F3" s="30">
        <f>'BFG utility'!I1*'BFG utility'!I18/1000000</f>
        <v>180.044926913328</v>
      </c>
      <c r="G3" s="30">
        <f>'NG utility with WGS'!I1*'NG utility with WGS'!I18/1000000</f>
        <v>183.55478866762562</v>
      </c>
      <c r="M3" s="51" t="s">
        <v>310</v>
      </c>
      <c r="N3" s="30">
        <v>13.53</v>
      </c>
      <c r="O3" s="30">
        <v>0</v>
      </c>
      <c r="P3" s="30">
        <v>29.3</v>
      </c>
      <c r="Q3" s="30">
        <v>3.7</v>
      </c>
      <c r="R3" s="30">
        <v>0</v>
      </c>
      <c r="S3" s="74"/>
      <c r="T3" s="74"/>
    </row>
    <row r="4" spans="3:20" ht="25.5">
      <c r="C4" t="s">
        <v>181</v>
      </c>
      <c r="D4" s="30">
        <f>FCI!C44</f>
        <v>147.94244746858783</v>
      </c>
      <c r="E4" s="30">
        <f>FCI!D44</f>
        <v>165.63618519901624</v>
      </c>
      <c r="F4" s="30">
        <f>FCI!E44</f>
        <v>165.63618519901624</v>
      </c>
      <c r="G4" s="30">
        <f>FCI!F44</f>
        <v>175.50573493302119</v>
      </c>
      <c r="M4" s="51" t="s">
        <v>313</v>
      </c>
      <c r="N4" s="30">
        <f>(24.5+91.80083)/N9</f>
        <v>87.444233082706759</v>
      </c>
      <c r="O4" s="30">
        <v>69.3</v>
      </c>
      <c r="P4" s="30">
        <v>75.37</v>
      </c>
      <c r="Q4" s="30">
        <v>75.760000000000005</v>
      </c>
      <c r="R4" s="30">
        <v>79.61</v>
      </c>
      <c r="S4" s="74"/>
      <c r="T4" s="79"/>
    </row>
    <row r="5" spans="3:20" ht="25.5">
      <c r="C5" t="s">
        <v>280</v>
      </c>
      <c r="D5" s="30">
        <f>'Maintenance &amp; Operations cost'!H$30/1000000</f>
        <v>31.92503283793236</v>
      </c>
      <c r="E5" s="30">
        <f>'Maintenance &amp; Operations cost'!I$30/1000000</f>
        <v>37.741784940506847</v>
      </c>
      <c r="F5" s="30">
        <f>'Maintenance &amp; Operations cost'!J$30/1000000</f>
        <v>37.741784940506847</v>
      </c>
      <c r="G5" s="30">
        <f>'Maintenance &amp; Operations cost'!K$30/1000000</f>
        <v>40.101869825531956</v>
      </c>
      <c r="M5" s="51" t="s">
        <v>311</v>
      </c>
      <c r="N5" s="30">
        <v>495.5</v>
      </c>
      <c r="O5" s="30">
        <v>495.5</v>
      </c>
      <c r="P5" s="30">
        <v>474.7</v>
      </c>
      <c r="Q5" s="30">
        <v>495.5</v>
      </c>
      <c r="R5" s="30">
        <v>475.42</v>
      </c>
      <c r="S5" s="79"/>
      <c r="T5" s="79"/>
    </row>
    <row r="6" spans="3:20" ht="38.25">
      <c r="C6" t="s">
        <v>284</v>
      </c>
      <c r="D6" s="30">
        <f>'COG utility'!I6*'COG utility'!I18/1000000</f>
        <v>-215.58408495630576</v>
      </c>
      <c r="E6" s="30">
        <f>'NG utility'!I6*'NG utility'!I18/1000000</f>
        <v>-197.83818329806041</v>
      </c>
      <c r="F6" s="30">
        <f>'BFG utility'!I6*'BFG utility'!I18/1000000</f>
        <v>-197.83818329806041</v>
      </c>
      <c r="G6" s="30">
        <f>'NG utility with WGS'!I6*'NG utility with WGS'!I18/1000000</f>
        <v>-198.13580391679398</v>
      </c>
      <c r="I6" s="43" t="s">
        <v>281</v>
      </c>
      <c r="M6" s="51" t="s">
        <v>290</v>
      </c>
      <c r="N6" s="74">
        <v>0.77</v>
      </c>
      <c r="O6" s="74">
        <v>1</v>
      </c>
      <c r="P6" s="74">
        <v>1.18</v>
      </c>
      <c r="Q6" s="74">
        <v>0.05</v>
      </c>
      <c r="R6" s="74">
        <v>0.15</v>
      </c>
    </row>
    <row r="7" spans="3:20" ht="38.25">
      <c r="L7" s="51" t="s">
        <v>281</v>
      </c>
      <c r="M7" s="51" t="s">
        <v>309</v>
      </c>
      <c r="N7" s="30">
        <v>40</v>
      </c>
      <c r="O7" s="30">
        <v>588</v>
      </c>
      <c r="P7" s="30">
        <v>285</v>
      </c>
      <c r="Q7" s="30">
        <v>856</v>
      </c>
      <c r="R7" s="30">
        <v>1064</v>
      </c>
    </row>
    <row r="8" spans="3:20">
      <c r="L8" s="51" t="s">
        <v>281</v>
      </c>
      <c r="M8" t="s">
        <v>417</v>
      </c>
      <c r="N8" s="74">
        <v>39.5</v>
      </c>
      <c r="O8" s="74">
        <v>25.7</v>
      </c>
      <c r="P8" s="74">
        <v>20</v>
      </c>
      <c r="Q8" s="74">
        <v>30</v>
      </c>
      <c r="R8" s="74">
        <v>25</v>
      </c>
    </row>
    <row r="9" spans="3:20" ht="38.25">
      <c r="L9" s="43" t="s">
        <v>281</v>
      </c>
      <c r="M9" s="53" t="s">
        <v>290</v>
      </c>
      <c r="N9" s="75">
        <v>1.33</v>
      </c>
      <c r="O9" s="75">
        <v>1</v>
      </c>
      <c r="P9" s="75">
        <v>0.9</v>
      </c>
      <c r="Q9" s="75">
        <v>18.68</v>
      </c>
      <c r="R9" s="75">
        <v>6.64</v>
      </c>
    </row>
    <row r="12" spans="3:20">
      <c r="D12" s="30"/>
      <c r="E12" s="30"/>
      <c r="F12" s="30"/>
      <c r="G12" s="30"/>
    </row>
    <row r="13" spans="3:20">
      <c r="D13" s="30"/>
      <c r="E13" s="30"/>
      <c r="F13" s="30"/>
      <c r="G13" s="30"/>
    </row>
    <row r="14" spans="3:20">
      <c r="D14" s="30"/>
      <c r="E14" s="30"/>
      <c r="F14" s="30"/>
      <c r="G14" s="30"/>
    </row>
    <row r="15" spans="3:20">
      <c r="D15" s="52"/>
      <c r="E15" s="52"/>
      <c r="F15" s="52"/>
      <c r="G15" s="52"/>
    </row>
    <row r="16" spans="3:20">
      <c r="D16" s="74"/>
      <c r="E16" s="74"/>
      <c r="F16" s="74"/>
      <c r="G16" s="74"/>
    </row>
    <row r="17" spans="4:7">
      <c r="D17" s="74"/>
      <c r="E17" s="74"/>
      <c r="F17" s="74"/>
      <c r="G17" s="74"/>
    </row>
    <row r="18" spans="4:7">
      <c r="D18" s="74"/>
      <c r="E18" s="74"/>
      <c r="F18" s="74"/>
      <c r="G18" s="74"/>
    </row>
    <row r="19" spans="4:7">
      <c r="D19" s="74"/>
      <c r="E19" s="74"/>
      <c r="F19" s="74"/>
      <c r="G19" s="74"/>
    </row>
    <row r="20" spans="4:7">
      <c r="D20" s="74"/>
      <c r="E20" s="74"/>
      <c r="F20" s="74"/>
      <c r="G20" s="7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FCI</vt:lpstr>
      <vt:lpstr>CEPCI</vt:lpstr>
      <vt:lpstr>Maintenance &amp; Operations cost</vt:lpstr>
      <vt:lpstr>COG utility</vt:lpstr>
      <vt:lpstr>BFG utility</vt:lpstr>
      <vt:lpstr>NG utility with WGS</vt:lpstr>
      <vt:lpstr>NG utility</vt:lpstr>
      <vt:lpstr>MeOH VS. Status quo and CCPP</vt:lpstr>
      <vt:lpstr>NPV_sensitivity</vt:lpstr>
      <vt:lpstr>Ssensitivity_result</vt:lpstr>
      <vt:lpstr>PriceMeOH</vt:lpstr>
      <vt:lpstr>PriceElec</vt:lpstr>
      <vt:lpstr>LocationHistory_NPV</vt:lpstr>
      <vt:lpstr>LocationHistory_CCA</vt:lpstr>
      <vt:lpstr>CashflowMeOH</vt:lpstr>
      <vt:lpstr>CashflowCCPP</vt:lpstr>
      <vt:lpstr>CashflowMeOHvsCCPP</vt:lpstr>
      <vt:lpstr>Utilitychosen</vt:lpstr>
      <vt:lpstr>CashflowCanada</vt:lpstr>
      <vt:lpstr>CashflowUSA</vt:lpstr>
      <vt:lpstr>CashflowFinland</vt:lpstr>
      <vt:lpstr>CashflowMexico</vt:lpstr>
      <vt:lpstr>CashflowChina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2019-06-14T14:30:35Z</dcterms:modified>
</cp:coreProperties>
</file>