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9070" windowHeight="15870" firstSheet="7" activeTab="9"/>
  </bookViews>
  <sheets>
    <sheet name="FCI" sheetId="7" r:id="rId1"/>
    <sheet name="CEPCI" sheetId="6" r:id="rId2"/>
    <sheet name="Maintenance &amp; Operations cost" sheetId="5" r:id="rId3"/>
    <sheet name="COG utility" sheetId="1" r:id="rId4"/>
    <sheet name="BFG utility" sheetId="2" r:id="rId5"/>
    <sheet name="NG utility with WGS" sheetId="12" r:id="rId6"/>
    <sheet name="NG utility" sheetId="3" r:id="rId7"/>
    <sheet name="MeOH VS. Status quo and CCPP" sheetId="4" r:id="rId8"/>
    <sheet name="NPV_sensitivity" sheetId="14" r:id="rId9"/>
    <sheet name="Ssensitivity_result" sheetId="15" r:id="rId10"/>
  </sheets>
  <calcPr calcId="152511"/>
</workbook>
</file>

<file path=xl/calcChain.xml><?xml version="1.0" encoding="utf-8"?>
<calcChain xmlns="http://schemas.openxmlformats.org/spreadsheetml/2006/main">
  <c r="P21" i="1" l="1"/>
  <c r="N4" i="14"/>
  <c r="N3" i="14"/>
  <c r="R4" i="14" l="1"/>
  <c r="Q4" i="14"/>
  <c r="P4" i="14"/>
  <c r="O4" i="14"/>
  <c r="F8" i="12" l="1"/>
  <c r="G8" i="12"/>
  <c r="C8" i="12"/>
  <c r="G25" i="3" l="1"/>
  <c r="R15" i="3" l="1"/>
  <c r="R14" i="3"/>
  <c r="R13" i="3"/>
  <c r="R12" i="3"/>
  <c r="O2" i="12"/>
  <c r="I4" i="3"/>
  <c r="O2" i="2" l="1"/>
  <c r="O2" i="3"/>
  <c r="S1" i="5"/>
  <c r="I7" i="1" l="1"/>
  <c r="I7" i="2"/>
  <c r="I7" i="12"/>
  <c r="I7" i="3"/>
  <c r="J3" i="15" l="1"/>
  <c r="C19" i="3" l="1"/>
  <c r="C18" i="3"/>
  <c r="C16" i="3"/>
  <c r="C15" i="3"/>
  <c r="C14" i="3"/>
  <c r="C13" i="3"/>
  <c r="C11" i="3"/>
  <c r="C10" i="3"/>
  <c r="C9" i="3"/>
  <c r="C8" i="3"/>
  <c r="C7" i="3"/>
  <c r="C6" i="3"/>
  <c r="C5" i="3"/>
  <c r="C3" i="3"/>
  <c r="C2" i="3"/>
  <c r="C25" i="12"/>
  <c r="C24" i="12"/>
  <c r="C22" i="12"/>
  <c r="C21" i="12"/>
  <c r="C20" i="12"/>
  <c r="C19" i="12"/>
  <c r="C17" i="12"/>
  <c r="C16" i="12"/>
  <c r="C15" i="12"/>
  <c r="C14" i="12"/>
  <c r="C10" i="12"/>
  <c r="C9" i="12"/>
  <c r="C7" i="12"/>
  <c r="C6" i="12"/>
  <c r="C5" i="12"/>
  <c r="C3" i="12"/>
  <c r="C2" i="12"/>
  <c r="C19" i="2"/>
  <c r="C18" i="2"/>
  <c r="C16" i="2"/>
  <c r="C15" i="2"/>
  <c r="C14" i="2"/>
  <c r="C13" i="2"/>
  <c r="C11" i="2"/>
  <c r="C10" i="2"/>
  <c r="C9" i="2"/>
  <c r="C8" i="2"/>
  <c r="C7" i="2"/>
  <c r="C6" i="2"/>
  <c r="C5" i="2"/>
  <c r="C3" i="2"/>
  <c r="C2" i="2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C5" i="1"/>
  <c r="C3" i="1"/>
  <c r="C2" i="1"/>
  <c r="G3" i="14" l="1"/>
  <c r="F3" i="14"/>
  <c r="E3" i="14"/>
  <c r="D3" i="14"/>
  <c r="I3" i="12" l="1"/>
  <c r="I3" i="3"/>
  <c r="I3" i="2"/>
  <c r="I3" i="1"/>
  <c r="T17" i="12"/>
  <c r="R18" i="12" s="1"/>
  <c r="X18" i="12" s="1"/>
  <c r="J12" i="12" s="1"/>
  <c r="I12" i="12" s="1"/>
  <c r="J13" i="12"/>
  <c r="J11" i="12"/>
  <c r="J13" i="2"/>
  <c r="J11" i="2"/>
  <c r="T17" i="2"/>
  <c r="R18" i="2" s="1"/>
  <c r="X18" i="2" s="1"/>
  <c r="J12" i="2" s="1"/>
  <c r="I12" i="2" s="1"/>
  <c r="Q17" i="1"/>
  <c r="O18" i="1" s="1"/>
  <c r="U18" i="1" s="1"/>
  <c r="J12" i="1" s="1"/>
  <c r="I12" i="1" s="1"/>
  <c r="J13" i="1"/>
  <c r="J11" i="1"/>
  <c r="T17" i="3" l="1"/>
  <c r="R18" i="3" s="1"/>
  <c r="X18" i="3" s="1"/>
  <c r="J13" i="3"/>
  <c r="J11" i="3"/>
  <c r="J12" i="3" l="1"/>
  <c r="I12" i="3" s="1"/>
  <c r="H6" i="4"/>
  <c r="G6" i="4"/>
  <c r="E6" i="4"/>
  <c r="F6" i="4"/>
  <c r="J13" i="6" l="1"/>
  <c r="F5" i="4" l="1"/>
  <c r="H2" i="4"/>
  <c r="G2" i="4"/>
  <c r="E2" i="4"/>
  <c r="F2" i="4"/>
  <c r="G21" i="2"/>
  <c r="F21" i="2"/>
  <c r="H7" i="4"/>
  <c r="I4" i="1"/>
  <c r="I4" i="12"/>
  <c r="H5" i="4" s="1"/>
  <c r="I4" i="2"/>
  <c r="G5" i="4" s="1"/>
  <c r="D19" i="5"/>
  <c r="I9" i="12"/>
  <c r="I8" i="12"/>
  <c r="G27" i="12"/>
  <c r="G25" i="12"/>
  <c r="F25" i="12"/>
  <c r="G23" i="12"/>
  <c r="F23" i="12"/>
  <c r="Q10" i="1"/>
  <c r="L11" i="1" s="1"/>
  <c r="I11" i="1" s="1"/>
  <c r="T10" i="2"/>
  <c r="L11" i="2" s="1"/>
  <c r="I11" i="2" s="1"/>
  <c r="T10" i="12"/>
  <c r="L11" i="12" s="1"/>
  <c r="I11" i="12" s="1"/>
  <c r="T10" i="3"/>
  <c r="L11" i="3" s="1"/>
  <c r="I11" i="3" s="1"/>
  <c r="G19" i="2"/>
  <c r="F19" i="2"/>
  <c r="F17" i="2"/>
  <c r="F12" i="2"/>
  <c r="G12" i="2" s="1"/>
  <c r="G8" i="2"/>
  <c r="F8" i="2"/>
  <c r="F17" i="3"/>
  <c r="G19" i="3"/>
  <c r="F19" i="3"/>
  <c r="F12" i="3"/>
  <c r="G8" i="3"/>
  <c r="F8" i="3"/>
  <c r="G19" i="1"/>
  <c r="F19" i="1"/>
  <c r="F17" i="1"/>
  <c r="F12" i="1"/>
  <c r="G12" i="1" s="1"/>
  <c r="G8" i="1"/>
  <c r="F8" i="1"/>
  <c r="C29" i="12" l="1"/>
  <c r="G24" i="2"/>
  <c r="I6" i="2" s="1"/>
  <c r="H4" i="4"/>
  <c r="F6" i="14" l="1"/>
  <c r="D2" i="14"/>
  <c r="G7" i="4"/>
  <c r="E7" i="4"/>
  <c r="F7" i="4"/>
  <c r="R5" i="2"/>
  <c r="R15" i="2"/>
  <c r="V15" i="2" s="1"/>
  <c r="R14" i="2"/>
  <c r="V14" i="2" s="1"/>
  <c r="R13" i="2"/>
  <c r="V13" i="2" s="1"/>
  <c r="R12" i="2"/>
  <c r="O15" i="1"/>
  <c r="S15" i="1" s="1"/>
  <c r="O14" i="1"/>
  <c r="S14" i="1" s="1"/>
  <c r="O13" i="1"/>
  <c r="S13" i="1" s="1"/>
  <c r="O12" i="1"/>
  <c r="V15" i="3"/>
  <c r="V14" i="3"/>
  <c r="V13" i="3"/>
  <c r="I13" i="2" l="1"/>
  <c r="C22" i="2" s="1"/>
  <c r="I13" i="3"/>
  <c r="C22" i="3" s="1"/>
  <c r="I13" i="1"/>
  <c r="C22" i="1" s="1"/>
  <c r="I24" i="1"/>
  <c r="V12" i="3"/>
  <c r="S12" i="1"/>
  <c r="V12" i="2"/>
  <c r="R15" i="12" l="1"/>
  <c r="V15" i="12" s="1"/>
  <c r="R14" i="12"/>
  <c r="V14" i="12" s="1"/>
  <c r="R13" i="12"/>
  <c r="V13" i="12" s="1"/>
  <c r="R12" i="12"/>
  <c r="I13" i="12" l="1"/>
  <c r="C28" i="12" s="1"/>
  <c r="C30" i="12" s="1"/>
  <c r="F5" i="7" s="1"/>
  <c r="F17" i="7" s="1"/>
  <c r="V12" i="12"/>
  <c r="F8" i="7" l="1"/>
  <c r="F11" i="7"/>
  <c r="F20" i="7"/>
  <c r="F23" i="7"/>
  <c r="F26" i="7"/>
  <c r="F29" i="7" l="1"/>
  <c r="F14" i="7"/>
  <c r="R5" i="12"/>
  <c r="I17" i="12"/>
  <c r="F18" i="12"/>
  <c r="G2" i="14"/>
  <c r="F32" i="7" l="1"/>
  <c r="K26" i="5" s="1"/>
  <c r="V9" i="5" s="1"/>
  <c r="I24" i="12"/>
  <c r="F30" i="12"/>
  <c r="K4" i="5" s="1"/>
  <c r="V4" i="5" s="1"/>
  <c r="G18" i="12"/>
  <c r="G30" i="12" s="1"/>
  <c r="I6" i="12" s="1"/>
  <c r="G6" i="14" s="1"/>
  <c r="F41" i="7" l="1"/>
  <c r="K14" i="5"/>
  <c r="K12" i="5" s="1"/>
  <c r="K16" i="5" s="1"/>
  <c r="F35" i="7"/>
  <c r="K24" i="5"/>
  <c r="V8" i="5" s="1"/>
  <c r="F38" i="7"/>
  <c r="G21" i="1"/>
  <c r="G24" i="1" s="1"/>
  <c r="I6" i="1" s="1"/>
  <c r="D6" i="14" s="1"/>
  <c r="G21" i="3"/>
  <c r="R5" i="3"/>
  <c r="O5" i="1"/>
  <c r="F44" i="7" l="1"/>
  <c r="K18" i="5"/>
  <c r="K17" i="5"/>
  <c r="I21" i="1"/>
  <c r="E5" i="4"/>
  <c r="E4" i="4"/>
  <c r="I17" i="2"/>
  <c r="I9" i="2"/>
  <c r="I8" i="2"/>
  <c r="C23" i="2" s="1"/>
  <c r="C24" i="2" s="1"/>
  <c r="F2" i="14" l="1"/>
  <c r="I21" i="2"/>
  <c r="I14" i="12"/>
  <c r="G4" i="14"/>
  <c r="K11" i="5"/>
  <c r="V6" i="5" s="1"/>
  <c r="I24" i="2"/>
  <c r="F24" i="2"/>
  <c r="J4" i="5" s="1"/>
  <c r="G4" i="4"/>
  <c r="F4" i="4"/>
  <c r="I9" i="1"/>
  <c r="I8" i="1"/>
  <c r="C23" i="1" s="1"/>
  <c r="C24" i="1" s="1"/>
  <c r="I8" i="3"/>
  <c r="C23" i="3" s="1"/>
  <c r="C24" i="3" s="1"/>
  <c r="I9" i="3"/>
  <c r="F24" i="1" l="1"/>
  <c r="H4" i="5" s="1"/>
  <c r="S4" i="5" s="1"/>
  <c r="U4" i="5"/>
  <c r="F24" i="3"/>
  <c r="I4" i="5" s="1"/>
  <c r="I24" i="3" l="1"/>
  <c r="T4" i="5"/>
  <c r="C5" i="7"/>
  <c r="E2" i="14" l="1"/>
  <c r="I17" i="3"/>
  <c r="I17" i="1"/>
  <c r="D37" i="5"/>
  <c r="F6" i="5"/>
  <c r="I6" i="5" s="1"/>
  <c r="J6" i="5" s="1"/>
  <c r="K6" i="5" s="1"/>
  <c r="I9" i="5"/>
  <c r="J9" i="5" s="1"/>
  <c r="K9" i="5" s="1"/>
  <c r="I10" i="5"/>
  <c r="J10" i="5" s="1"/>
  <c r="K10" i="5" s="1"/>
  <c r="H9" i="5"/>
  <c r="H10" i="5"/>
  <c r="B54" i="6"/>
  <c r="D12" i="5"/>
  <c r="N8" i="14" l="1"/>
  <c r="D1" i="15"/>
  <c r="P8" i="14"/>
  <c r="O8" i="14"/>
  <c r="R8" i="14"/>
  <c r="Q8" i="14"/>
  <c r="K37" i="5"/>
  <c r="V10" i="5" s="1"/>
  <c r="I37" i="5"/>
  <c r="J37" i="5"/>
  <c r="U10" i="5" s="1"/>
  <c r="H37" i="5"/>
  <c r="S10" i="5" s="1"/>
  <c r="F7" i="5"/>
  <c r="H6" i="5"/>
  <c r="F8" i="5"/>
  <c r="G12" i="3"/>
  <c r="C20" i="7"/>
  <c r="E5" i="7"/>
  <c r="G24" i="3" l="1"/>
  <c r="G26" i="3" s="1"/>
  <c r="T10" i="5"/>
  <c r="E20" i="7"/>
  <c r="E23" i="7"/>
  <c r="E8" i="7"/>
  <c r="E17" i="7"/>
  <c r="E11" i="7"/>
  <c r="E26" i="7"/>
  <c r="D5" i="7"/>
  <c r="D11" i="7" s="1"/>
  <c r="H8" i="5"/>
  <c r="I8" i="5"/>
  <c r="J8" i="5" s="1"/>
  <c r="K8" i="5" s="1"/>
  <c r="I7" i="5"/>
  <c r="J7" i="5" s="1"/>
  <c r="K7" i="5" s="1"/>
  <c r="K19" i="5" s="1"/>
  <c r="V7" i="5" s="1"/>
  <c r="F5" i="5"/>
  <c r="H7" i="5"/>
  <c r="C23" i="7"/>
  <c r="C26" i="7"/>
  <c r="C11" i="7"/>
  <c r="C8" i="7"/>
  <c r="C17" i="7"/>
  <c r="I6" i="3" l="1"/>
  <c r="E29" i="7"/>
  <c r="E14" i="7"/>
  <c r="D23" i="7"/>
  <c r="D26" i="7"/>
  <c r="D8" i="7"/>
  <c r="D14" i="7" s="1"/>
  <c r="D20" i="7"/>
  <c r="D17" i="7"/>
  <c r="I5" i="5"/>
  <c r="T5" i="5" s="1"/>
  <c r="H5" i="5"/>
  <c r="S5" i="5" s="1"/>
  <c r="C14" i="7"/>
  <c r="C29" i="7"/>
  <c r="I21" i="3" l="1"/>
  <c r="E6" i="14"/>
  <c r="J5" i="5"/>
  <c r="U5" i="5" s="1"/>
  <c r="C32" i="7"/>
  <c r="H14" i="5" s="1"/>
  <c r="E32" i="7"/>
  <c r="D29" i="7"/>
  <c r="D32" i="7" s="1"/>
  <c r="I26" i="5" l="1"/>
  <c r="T9" i="5" s="1"/>
  <c r="I24" i="5"/>
  <c r="T8" i="5" s="1"/>
  <c r="K5" i="5"/>
  <c r="V5" i="5" s="1"/>
  <c r="H24" i="5"/>
  <c r="S8" i="5" s="1"/>
  <c r="H12" i="5"/>
  <c r="C38" i="7"/>
  <c r="H26" i="5"/>
  <c r="S9" i="5" s="1"/>
  <c r="J14" i="5"/>
  <c r="J12" i="5" s="1"/>
  <c r="J16" i="5" s="1"/>
  <c r="J26" i="5"/>
  <c r="U9" i="5" s="1"/>
  <c r="J24" i="5"/>
  <c r="U8" i="5" s="1"/>
  <c r="I14" i="5"/>
  <c r="I12" i="5" s="1"/>
  <c r="I16" i="5" s="1"/>
  <c r="E41" i="7"/>
  <c r="E35" i="7"/>
  <c r="E38" i="7"/>
  <c r="C41" i="7"/>
  <c r="C35" i="7"/>
  <c r="D35" i="7"/>
  <c r="D38" i="7"/>
  <c r="D41" i="7"/>
  <c r="K30" i="5" l="1"/>
  <c r="G5" i="14" s="1"/>
  <c r="H17" i="5"/>
  <c r="I17" i="5"/>
  <c r="H18" i="5"/>
  <c r="I18" i="5"/>
  <c r="J18" i="5"/>
  <c r="J17" i="5"/>
  <c r="H16" i="5"/>
  <c r="H19" i="5" s="1"/>
  <c r="S7" i="5" s="1"/>
  <c r="J19" i="5"/>
  <c r="U7" i="5" s="1"/>
  <c r="I19" i="5"/>
  <c r="T7" i="5" s="1"/>
  <c r="E44" i="7"/>
  <c r="C44" i="7"/>
  <c r="D4" i="14" s="1"/>
  <c r="D44" i="7"/>
  <c r="I14" i="3" s="1"/>
  <c r="I14" i="2" l="1"/>
  <c r="F4" i="14"/>
  <c r="E4" i="14"/>
  <c r="I11" i="5"/>
  <c r="T6" i="5" s="1"/>
  <c r="I14" i="1"/>
  <c r="K38" i="5"/>
  <c r="K39" i="5" s="1"/>
  <c r="J11" i="5"/>
  <c r="H11" i="5"/>
  <c r="H30" i="5" l="1"/>
  <c r="D5" i="14" s="1"/>
  <c r="S6" i="5"/>
  <c r="J30" i="5"/>
  <c r="U6" i="5"/>
  <c r="I30" i="5"/>
  <c r="I20" i="12"/>
  <c r="I38" i="5" l="1"/>
  <c r="I39" i="5" s="1"/>
  <c r="I20" i="3" s="1"/>
  <c r="I22" i="3" s="1"/>
  <c r="E5" i="14"/>
  <c r="H38" i="5"/>
  <c r="H39" i="5" s="1"/>
  <c r="I20" i="1" s="1"/>
  <c r="F5" i="14"/>
  <c r="J38" i="5"/>
  <c r="J39" i="5" s="1"/>
  <c r="I20" i="2" s="1"/>
  <c r="I21" i="12"/>
  <c r="I22" i="12" s="1"/>
  <c r="I23" i="3" l="1"/>
  <c r="I23" i="12"/>
  <c r="I25" i="3"/>
  <c r="I23" i="2"/>
  <c r="I22" i="2"/>
  <c r="I23" i="1" l="1"/>
  <c r="I22" i="1"/>
  <c r="I25" i="2"/>
  <c r="I25" i="12"/>
  <c r="I25" i="1" l="1"/>
</calcChain>
</file>

<file path=xl/sharedStrings.xml><?xml version="1.0" encoding="utf-8"?>
<sst xmlns="http://schemas.openxmlformats.org/spreadsheetml/2006/main" count="967" uniqueCount="345">
  <si>
    <t>DRYREFORM</t>
  </si>
  <si>
    <t>HEAT2</t>
  </si>
  <si>
    <t>MTH2SR</t>
  </si>
  <si>
    <t>COOL2</t>
  </si>
  <si>
    <t>COMP1</t>
  </si>
  <si>
    <t>PUMP1</t>
  </si>
  <si>
    <t>HEAT1</t>
  </si>
  <si>
    <t>HEAT3</t>
  </si>
  <si>
    <t>MEOHSYN1</t>
  </si>
  <si>
    <t>COOL3</t>
  </si>
  <si>
    <t>FLASH1</t>
  </si>
  <si>
    <t>COMP2</t>
  </si>
  <si>
    <t>SEP1</t>
  </si>
  <si>
    <t>SEP2</t>
  </si>
  <si>
    <t>COMP3</t>
  </si>
  <si>
    <t>TURB</t>
  </si>
  <si>
    <t>STACK (FIRE-HEAD FOR BOILER)</t>
  </si>
  <si>
    <t>COOL1 (six tenth rule page 592 Seider)</t>
  </si>
  <si>
    <t>MEOH produced (kg/hr)</t>
  </si>
  <si>
    <t>sum (million USD)</t>
  </si>
  <si>
    <t>sum (million $)</t>
  </si>
  <si>
    <t>Utility cost ($/hr)</t>
  </si>
  <si>
    <t>CO2 emission from utility (kg/hr)</t>
  </si>
  <si>
    <t>Carbon tax ($/tonne CO2)</t>
  </si>
  <si>
    <t>SUM</t>
  </si>
  <si>
    <t>Downstream BFG replace by NG</t>
  </si>
  <si>
    <t>Annual cost to operate</t>
  </si>
  <si>
    <t>Annual operation hours:</t>
  </si>
  <si>
    <t>Operations (labor-related)</t>
  </si>
  <si>
    <t>Direct wages and benefits (DW&amp;B)</t>
  </si>
  <si>
    <t>$/hr</t>
  </si>
  <si>
    <t>$</t>
  </si>
  <si>
    <t>Direct salaries and benefits</t>
  </si>
  <si>
    <t>% of DW&amp;B</t>
  </si>
  <si>
    <t>Operating supplies and services</t>
  </si>
  <si>
    <t>Technical assistance to manufacturing</t>
  </si>
  <si>
    <t>Control laboratory</t>
  </si>
  <si>
    <t>Maintenance (M)</t>
  </si>
  <si>
    <t>Wages and benefits (MW&amp;B)</t>
  </si>
  <si>
    <t>% of CTDC</t>
  </si>
  <si>
    <t>Fluid handling process</t>
  </si>
  <si>
    <t>Solids-fluids handling process</t>
  </si>
  <si>
    <t>Solids-handling process</t>
  </si>
  <si>
    <t>Salaries and benefits</t>
  </si>
  <si>
    <t>% of MW&amp;B</t>
  </si>
  <si>
    <t>Materials and services</t>
  </si>
  <si>
    <t>Maintenance overhead</t>
  </si>
  <si>
    <t>Operating overhead</t>
  </si>
  <si>
    <t>General plant overhead</t>
  </si>
  <si>
    <t>% of M&amp;O-SW&amp;B</t>
  </si>
  <si>
    <t>Mechanical department services</t>
  </si>
  <si>
    <t>Employee relations department</t>
  </si>
  <si>
    <t>Business services</t>
  </si>
  <si>
    <t>Property taxes and insurance</t>
  </si>
  <si>
    <t>Depreciation</t>
  </si>
  <si>
    <t>Direct plant</t>
  </si>
  <si>
    <t xml:space="preserve">% of (CTDC-1.18Calloc </t>
  </si>
  <si>
    <t>Allocated plant</t>
  </si>
  <si>
    <t>% of 1.18 Calloc</t>
  </si>
  <si>
    <t>Rental fees</t>
  </si>
  <si>
    <t>Licensing fees</t>
  </si>
  <si>
    <t>Cost of Manufacture (COM)</t>
  </si>
  <si>
    <t>sum of the above from DW&amp;B</t>
  </si>
  <si>
    <t>General Expenses</t>
  </si>
  <si>
    <t>Selling (or transfer) expense</t>
  </si>
  <si>
    <t>% of sales</t>
  </si>
  <si>
    <t>Direct research</t>
  </si>
  <si>
    <t>Allocated research</t>
  </si>
  <si>
    <t>Administrative expense</t>
  </si>
  <si>
    <t>Management incentive compensation</t>
  </si>
  <si>
    <t>Total general expenses (GE)</t>
  </si>
  <si>
    <t>COM+GE</t>
  </si>
  <si>
    <t>Chemical Engineering Plant Cost Index (CEPCI)</t>
  </si>
  <si>
    <t>Scale up to today's dollars</t>
  </si>
  <si>
    <t>1957-59=100</t>
  </si>
  <si>
    <t>Mar.15 2016</t>
  </si>
  <si>
    <t>Annual index</t>
  </si>
  <si>
    <t>CE index</t>
  </si>
  <si>
    <t>Equipment</t>
  </si>
  <si>
    <t>Heat exchangers &amp; tanks</t>
  </si>
  <si>
    <t>Process machinery</t>
  </si>
  <si>
    <t>Pipe. Valves &amp; fittings</t>
  </si>
  <si>
    <t>Process instuments</t>
  </si>
  <si>
    <t>Pumps &amp; compressors</t>
  </si>
  <si>
    <t>Electrical equipment</t>
  </si>
  <si>
    <t>Structural supports &amp; misc</t>
  </si>
  <si>
    <t>Construction labor</t>
  </si>
  <si>
    <t>Buildings</t>
  </si>
  <si>
    <t>Engineering &amp; supervision</t>
  </si>
  <si>
    <t>Ftoday$ = Fold$*(CEPCItoday/CEPCIold)</t>
  </si>
  <si>
    <t>Ref.: Product and Process design principles  Seider,Seader</t>
  </si>
  <si>
    <t>CEPCI</t>
  </si>
  <si>
    <t>Installation costs</t>
  </si>
  <si>
    <t>Construction costs (incl. labor)</t>
  </si>
  <si>
    <t>Total direct costs</t>
  </si>
  <si>
    <t>Shipping (incl. insurance &amp; tax)</t>
  </si>
  <si>
    <t>construction overhead</t>
  </si>
  <si>
    <t>contractor engineering</t>
  </si>
  <si>
    <t>Contingencies</t>
  </si>
  <si>
    <t>Total indirect costs</t>
  </si>
  <si>
    <t>CBTIC=CBship+CBover+CBengn+CBslop</t>
  </si>
  <si>
    <t>Total depreciable capital</t>
  </si>
  <si>
    <t>land (pure real estate)</t>
  </si>
  <si>
    <t>CBland=0.02*CBdep</t>
  </si>
  <si>
    <t>royaltes</t>
  </si>
  <si>
    <t>CBroyl=0.02*CBdep</t>
  </si>
  <si>
    <t>startup costs</t>
  </si>
  <si>
    <t>CBstrt=0.1*CBdep</t>
  </si>
  <si>
    <t>Fixed capital investiment</t>
  </si>
  <si>
    <t>CBFCI=CBdep+CBland+CBroyl+CBstrt</t>
  </si>
  <si>
    <t>COG</t>
  </si>
  <si>
    <t>NG</t>
  </si>
  <si>
    <t>Total F.O.B. (million $) in 2016</t>
  </si>
  <si>
    <t>TFOB</t>
  </si>
  <si>
    <t>Cbinst=0.714*TFOB</t>
  </si>
  <si>
    <t>Cbconst=0.63*TFOB</t>
  </si>
  <si>
    <t>CBship=0.08*TFOB</t>
  </si>
  <si>
    <t>CBover=0.571*TFOB</t>
  </si>
  <si>
    <t>CBengn=0.296*TFOB</t>
  </si>
  <si>
    <t>CBslop=0.25*TFOB</t>
  </si>
  <si>
    <t>TDC=TFOB+Cbinst+Cbconst</t>
  </si>
  <si>
    <t>CBdep=TDC+CBTIC</t>
  </si>
  <si>
    <t>MeOH price (USD/MT)</t>
  </si>
  <si>
    <t>Total Production cost ( C ) (million $)</t>
  </si>
  <si>
    <t>Total Production cost ( C ) ($)</t>
  </si>
  <si>
    <t>Lifetime</t>
  </si>
  <si>
    <t>Inner rate of return</t>
  </si>
  <si>
    <t>AF</t>
  </si>
  <si>
    <t>Annual operation hrs</t>
  </si>
  <si>
    <t>Total Revenue (million $)</t>
  </si>
  <si>
    <t>Total Production Cost (million $)</t>
  </si>
  <si>
    <t>Total Fixed Capital Investment (million $)</t>
  </si>
  <si>
    <t>NPV (million $)</t>
  </si>
  <si>
    <t>Y payback period (yr)</t>
  </si>
  <si>
    <t>Additional CO2 (kg/hr)</t>
  </si>
  <si>
    <t>CO2 Sep. cost ($/MT)</t>
  </si>
  <si>
    <t>statust-quo</t>
  </si>
  <si>
    <t>CE (cent/kwh)</t>
  </si>
  <si>
    <t>Elec. (kwh)</t>
  </si>
  <si>
    <t>Equipment equation cal. cost (USD)</t>
  </si>
  <si>
    <t>Compressor efficiency</t>
  </si>
  <si>
    <t>COMP1 (Costing and Proj. eva. Economi. Page 319)</t>
  </si>
  <si>
    <t>COMP2 (Costing and Proj. eva. Economi. Page 319)</t>
  </si>
  <si>
    <t>COMP3 (Costing and Proj. eva. Economi. Page 319)</t>
  </si>
  <si>
    <t>Pump Efficiency</t>
  </si>
  <si>
    <t>Compr. Efficiency</t>
  </si>
  <si>
    <t>Calculate type</t>
  </si>
  <si>
    <t xml:space="preserve">HX-Plate and frame </t>
  </si>
  <si>
    <t>Ref.</t>
  </si>
  <si>
    <t>Seider book, page 592</t>
  </si>
  <si>
    <t>Chap.6 Costing and project evaluation</t>
  </si>
  <si>
    <t>Floating head shell and tube</t>
  </si>
  <si>
    <t>Vertical, cs pressure vessel</t>
  </si>
  <si>
    <t>Centrifugal compressors</t>
  </si>
  <si>
    <t>Single-stage centrifugal pumps</t>
  </si>
  <si>
    <t>Fixed tube, float head, u-tube HX</t>
  </si>
  <si>
    <t>Aspen Economizer</t>
  </si>
  <si>
    <t>Distilation column</t>
  </si>
  <si>
    <t>Fired heaters for specific purpose: steam boiler</t>
  </si>
  <si>
    <t>Gas turbine with combustion chamber</t>
  </si>
  <si>
    <t>pump efficiency</t>
  </si>
  <si>
    <t>Box type furnace,316S</t>
  </si>
  <si>
    <t>H2S removal and recovery cost fixed capital cost (million $)</t>
  </si>
  <si>
    <t>H2S removal and recovery operation, utility, production cost ($/hr)</t>
  </si>
  <si>
    <t>COG (kg/hr)</t>
  </si>
  <si>
    <t>H2S in COG (kmol/hr)</t>
  </si>
  <si>
    <t>CCPP</t>
  </si>
  <si>
    <t>MeOH-uNG</t>
  </si>
  <si>
    <t>MeOH-uCOG</t>
  </si>
  <si>
    <t>NPV</t>
  </si>
  <si>
    <t>FCI (million $)</t>
  </si>
  <si>
    <t xml:space="preserve"> COG combust CO2 (kg/hr)</t>
  </si>
  <si>
    <t>Cost of CO2 avoided ($/t CO2e)</t>
  </si>
  <si>
    <t>Total revenue without CO2 revenue (million $)</t>
  </si>
  <si>
    <t>MeOH-uBFG</t>
  </si>
  <si>
    <t>BFG</t>
  </si>
  <si>
    <t>Suppose BFG isn't used in plant</t>
  </si>
  <si>
    <t>Status-quo</t>
  </si>
  <si>
    <t>-</t>
  </si>
  <si>
    <t>Same amount BFG comb. As usual (kg/hr)</t>
  </si>
  <si>
    <t>BFG same amount used</t>
  </si>
  <si>
    <t>Same amount BFG used</t>
  </si>
  <si>
    <t>CDR Utility flow rate (kg/hr)</t>
  </si>
  <si>
    <t>Additional CO2 needed (kg/hr)</t>
  </si>
  <si>
    <t>PUMP1 for WGS</t>
  </si>
  <si>
    <t>WGS</t>
  </si>
  <si>
    <t>Ni. Price from alibaba higest</t>
  </si>
  <si>
    <t>Al2O3 price from alibaba highest</t>
  </si>
  <si>
    <t>$/gram</t>
  </si>
  <si>
    <t>$/ton</t>
  </si>
  <si>
    <t>kg</t>
  </si>
  <si>
    <t>l/hr</t>
  </si>
  <si>
    <t xml:space="preserve">Mixture goes in to CDR </t>
  </si>
  <si>
    <t>VHSV</t>
  </si>
  <si>
    <t>L/g/hr</t>
  </si>
  <si>
    <r>
      <t>CuO: ZnO: 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: SiO</t>
    </r>
    <r>
      <rPr>
        <vertAlign val="subscript"/>
        <sz val="10"/>
        <color theme="1"/>
        <rFont val="Times New Roman"/>
        <family val="1"/>
      </rPr>
      <t xml:space="preserve">2 </t>
    </r>
    <r>
      <rPr>
        <sz val="10"/>
        <color theme="1"/>
        <rFont val="Times New Roman"/>
        <family val="1"/>
      </rPr>
      <t>for MeOH</t>
    </r>
  </si>
  <si>
    <t>ton</t>
  </si>
  <si>
    <t>Price</t>
  </si>
  <si>
    <t>CuO amount</t>
  </si>
  <si>
    <t>ZnO amount</t>
  </si>
  <si>
    <t>Al2O3 amount</t>
  </si>
  <si>
    <t>SiO2 amount</t>
  </si>
  <si>
    <t>$/kg</t>
  </si>
  <si>
    <t>Max. total cost ($)</t>
  </si>
  <si>
    <t>CO2REMOV amount (kg/hr)</t>
  </si>
  <si>
    <t>Total Production Cost (million $/yr)</t>
  </si>
  <si>
    <t>Total Revenue (million $/yr)</t>
  </si>
  <si>
    <t>Fe2O3 from alibaba higest</t>
  </si>
  <si>
    <t>For Fe2O3 in literature</t>
  </si>
  <si>
    <t>m3</t>
  </si>
  <si>
    <t>mg H2S/m3</t>
  </si>
  <si>
    <t>hr</t>
  </si>
  <si>
    <t>H2S after CDR</t>
  </si>
  <si>
    <t>bed voidage</t>
  </si>
  <si>
    <t>g/cm3</t>
  </si>
  <si>
    <t>catalyst density</t>
  </si>
  <si>
    <t>MeOH-uNG-WGS</t>
  </si>
  <si>
    <t>MeOH production rate (kg MeOH/kg COG)</t>
  </si>
  <si>
    <t>HEAT4</t>
  </si>
  <si>
    <t>HEAT5</t>
  </si>
  <si>
    <t>Centrifugal compressors+Drive mainly by GT, the left by internal comb. Engine</t>
  </si>
  <si>
    <t>m3/h</t>
  </si>
  <si>
    <t>mg H2S/h</t>
  </si>
  <si>
    <t>(Ni/γ-Al2O3)</t>
  </si>
  <si>
    <t>Ni-MgO-Ce0.8Zr0.2O2</t>
  </si>
  <si>
    <t>Mg(NO3)2.6H2O</t>
  </si>
  <si>
    <t>Ni(NO3)2.6H2O</t>
  </si>
  <si>
    <t>Ce(NO3)2.6H2O</t>
  </si>
  <si>
    <t>ZrO2</t>
  </si>
  <si>
    <t>Box type furnace,CS</t>
  </si>
  <si>
    <t>HEAT6</t>
  </si>
  <si>
    <t>Packed tower</t>
  </si>
  <si>
    <t>COOL2-1</t>
  </si>
  <si>
    <t>COOL2-2</t>
  </si>
  <si>
    <t>Centrifugal compressors+MOTOR</t>
  </si>
  <si>
    <t>pump2</t>
  </si>
  <si>
    <t>COMP4 (Costing and Proj. eva. Economi. Page 319)</t>
  </si>
  <si>
    <t>WGS_NG</t>
  </si>
  <si>
    <t>CDR Utility flow rate (kg/kg COG)</t>
  </si>
  <si>
    <t xml:space="preserve">Mixture goes in to CSR </t>
  </si>
  <si>
    <t>kg/yr</t>
  </si>
  <si>
    <t>ton/yr</t>
  </si>
  <si>
    <t>CO2 consumption (kg CO2/kg COG)</t>
  </si>
  <si>
    <t>MeOH annual production rate (kt/yr)</t>
  </si>
  <si>
    <t>CDR catalyst (million $) (Ni/γ-Al2O3) initial</t>
  </si>
  <si>
    <t>MTSR catalyst (million $) (Fe2O3) initial</t>
  </si>
  <si>
    <t>MeOH catalyst (million $) (CuO: ZnO: Al2O3: SiO2) initial</t>
  </si>
  <si>
    <t>ton catalyst</t>
  </si>
  <si>
    <t>Total catalyst cost (million $)</t>
  </si>
  <si>
    <t>H2S removal &amp; CO2 recover cost (million $)</t>
  </si>
  <si>
    <t>CO2 emission from COG combustion status quo(kg/hr)</t>
  </si>
  <si>
    <t>Total CO2 emission  compare status quo (kg/hr)</t>
  </si>
  <si>
    <t xml:space="preserve"> Utility </t>
  </si>
  <si>
    <t>Operations</t>
  </si>
  <si>
    <t xml:space="preserve">Maintenance </t>
  </si>
  <si>
    <t xml:space="preserve">Operating Overhead </t>
  </si>
  <si>
    <t>Property Taxes and Insurance</t>
  </si>
  <si>
    <t>Total Utility Cost  $)</t>
  </si>
  <si>
    <t>PPP</t>
  </si>
  <si>
    <t>COM (million $)</t>
  </si>
  <si>
    <t xml:space="preserve"> </t>
  </si>
  <si>
    <t>Elect. In Status-quo (GWh)</t>
  </si>
  <si>
    <r>
      <t>M</t>
    </r>
    <r>
      <rPr>
        <vertAlign val="subscript"/>
        <sz val="11"/>
        <color theme="1"/>
        <rFont val="Calibri"/>
        <family val="2"/>
        <scheme val="minor"/>
      </rPr>
      <t xml:space="preserve">MeOH </t>
    </r>
    <r>
      <rPr>
        <sz val="11"/>
        <color theme="1"/>
        <rFont val="Calibri"/>
        <family val="2"/>
        <scheme val="minor"/>
      </rPr>
      <t>(kT/yr)</t>
    </r>
  </si>
  <si>
    <t>Total CO2 emission compared to status quo (kT/yr)</t>
  </si>
  <si>
    <t>Ontario</t>
  </si>
  <si>
    <t>USA</t>
  </si>
  <si>
    <t>Finland</t>
  </si>
  <si>
    <t>Mexico</t>
  </si>
  <si>
    <t>China</t>
  </si>
  <si>
    <t>Exchange rate (LCD to USD</t>
  </si>
  <si>
    <t>Towler, Gavin, Sinnott, Ray K book 2013 Chapter 7</t>
  </si>
  <si>
    <t>Towler, Gavin, Sinnott, Ray K book 2013 Chapter 7, area get by 4 HX replacement in Aspen</t>
  </si>
  <si>
    <t>Towler, Gavin, Sinnott, Ray K book 2013 Chapter 7, Sieder book, page 591</t>
  </si>
  <si>
    <t>Towler, Gavin, Sinnott, Ray K book 2013 Chapter 7, shell weight from Aspen Economy</t>
  </si>
  <si>
    <t>uCOG</t>
  </si>
  <si>
    <t>uNG</t>
  </si>
  <si>
    <t>uBFG</t>
  </si>
  <si>
    <t>uNG-WGS</t>
  </si>
  <si>
    <t>Norm</t>
  </si>
  <si>
    <t>Projection</t>
  </si>
  <si>
    <t>Process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</si>
  <si>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Tax Tirgger point</t>
    </r>
  </si>
  <si>
    <t>Payback period</t>
  </si>
  <si>
    <t>[-0.9999  0.0084  0.0104  ]</t>
  </si>
  <si>
    <t>[-0.9999  0.0086  0.0105  ]</t>
  </si>
  <si>
    <t>ER</t>
  </si>
  <si>
    <t>Payback period (yr)</t>
  </si>
  <si>
    <t>Trigger point</t>
  </si>
  <si>
    <t>Ontario PPP</t>
  </si>
  <si>
    <t>uNG_WGS</t>
  </si>
  <si>
    <t>Elec. Carb. Intens. (g/kwh)</t>
  </si>
  <si>
    <t>Tax ($/Mton)</t>
  </si>
  <si>
    <t>Xmeoh ($/Mton)</t>
  </si>
  <si>
    <r>
      <t>CCA($/MtonCO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e)</t>
    </r>
  </si>
  <si>
    <t>[ -1.2445  1.0456  1.2427 ]</t>
  </si>
  <si>
    <t>[ 154.25  385.63  -56.61 ]</t>
  </si>
  <si>
    <t>[ -1.2445  1.0456  0.4717 ]</t>
  </si>
  <si>
    <t>[ 72.35  511.44  94.07 ]</t>
  </si>
  <si>
    <t>[ -1.2445  1.0456  0.8980 ]</t>
  </si>
  <si>
    <t>[ 25.27  629.35  263.75 ]</t>
  </si>
  <si>
    <t>[ -1.2445  1.0660  0.0966 ]</t>
  </si>
  <si>
    <t>[ 362.20  238.39  -2542.39 ]</t>
  </si>
  <si>
    <t>[ -1.2445  1.0660  -0.1961 ]</t>
  </si>
  <si>
    <t>[ 269.99  230.85  1082.57 ]</t>
  </si>
  <si>
    <t>[ -1.2320  1.0351  1.2302 ]</t>
  </si>
  <si>
    <t>[ 153.23  386.86  -55.58 ]</t>
  </si>
  <si>
    <t>[ -1.2320  1.0351  0.4669 ]</t>
  </si>
  <si>
    <t>[ 71.04  512.99  97.51 ]</t>
  </si>
  <si>
    <t>[ -1.2320  1.0351  0.8890 ]</t>
  </si>
  <si>
    <t>[ 23.83  631.07  265.75 ]</t>
  </si>
  <si>
    <t>[ -1.2320  1.0553  0.0956 ]</t>
  </si>
  <si>
    <t>[ 362.04  238.58  -2540.31 ]</t>
  </si>
  <si>
    <t>[ -1.2320  1.0553  -0.1941 ]</t>
  </si>
  <si>
    <t>[ 269.59  231.31  1080.04 ]</t>
  </si>
  <si>
    <t>[ -1.0425  0.8759  1.0410 ]</t>
  </si>
  <si>
    <t>[ 134.64  408.98  -36.97 ]</t>
  </si>
  <si>
    <t>[ -1.0425  0.8759  0.3951 ]</t>
  </si>
  <si>
    <t>[ 47.44  541.08  159.79 ]</t>
  </si>
  <si>
    <t>[ -1.0425  0.8759  0.7522 ]</t>
  </si>
  <si>
    <t>[ -2.25  662.11  301.90 ]</t>
  </si>
  <si>
    <t>[ -1.0425  0.8929  0.0809 ]</t>
  </si>
  <si>
    <t>[ 359.13  241.98  -2502.72 ]</t>
  </si>
  <si>
    <t>[ -1.0425  0.8929  -0.1643 ]</t>
  </si>
  <si>
    <t>[ 262.39  239.72  1034.34 ]</t>
  </si>
  <si>
    <t>[ -0.8529  0.7166  0.8517 ]</t>
  </si>
  <si>
    <t>[ 107.80  440.93  -10.09 ]</t>
  </si>
  <si>
    <t>[ -0.8529  0.7166  0.3233 ]</t>
  </si>
  <si>
    <t>[ 13.34  581.66  249.75 ]</t>
  </si>
  <si>
    <t>[ -0.8529  0.7166  0.6154 ]</t>
  </si>
  <si>
    <t>[ -39.93  706.95  354.10 ]</t>
  </si>
  <si>
    <t>[ -0.8529  0.7306  0.0662 ]</t>
  </si>
  <si>
    <t>[ 354.91  246.90  -2448.43 ]</t>
  </si>
  <si>
    <t>[ -0.8529  0.7306  -0.1344 ]</t>
  </si>
  <si>
    <t>[ 251.98  251.87  968.32 ]</t>
  </si>
  <si>
    <t>Xelec($/MWH)</t>
  </si>
  <si>
    <t>[ -0.6634  0.5574  0.6624 ]</t>
  </si>
  <si>
    <t>[ 65.61  491.14  32.16 ]</t>
  </si>
  <si>
    <t>[ -0.6634  0.5574  0.2514 ]</t>
  </si>
  <si>
    <t>[ -40.23  645.43  391.10 ]</t>
  </si>
  <si>
    <t>[ -0.6634  0.5574  0.4787 ]</t>
  </si>
  <si>
    <t>[ -99.13  777.41  436.15 ]</t>
  </si>
  <si>
    <t>[ -0.6634  0.5682  0.0515 ]</t>
  </si>
  <si>
    <t>[ 348.29  254.63  -2363.12 ]</t>
  </si>
  <si>
    <t>[ -0.6634  0.5574  -0.1056 ]</t>
  </si>
  <si>
    <t>[ 236.13  267.26  859.16 ]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</si>
</sst>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1" fillId="0" borderId="3" xfId="0" applyFont="1" applyBorder="1"/>
    <xf numFmtId="0" fontId="0" fillId="0" borderId="4" xfId="0" applyBorder="1"/>
    <xf numFmtId="0" fontId="0" fillId="0" borderId="3" xfId="0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0" borderId="0" xfId="0" applyNumberFormat="1"/>
    <xf numFmtId="2" fontId="2" fillId="0" borderId="0" xfId="0" applyNumberFormat="1" applyFont="1"/>
    <xf numFmtId="2" fontId="0" fillId="2" borderId="8" xfId="0" applyNumberFormat="1" applyFill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8" xfId="0" applyNumberFormat="1" applyBorder="1"/>
    <xf numFmtId="2" fontId="0" fillId="2" borderId="0" xfId="0" applyNumberFormat="1" applyFill="1" applyBorder="1"/>
    <xf numFmtId="2" fontId="0" fillId="2" borderId="7" xfId="0" applyNumberFormat="1" applyFill="1" applyBorder="1"/>
    <xf numFmtId="0" fontId="0" fillId="2" borderId="8" xfId="0" applyFill="1" applyBorder="1" applyAlignment="1">
      <alignment horizontal="right"/>
    </xf>
    <xf numFmtId="0" fontId="0" fillId="0" borderId="9" xfId="0" applyFill="1" applyBorder="1"/>
    <xf numFmtId="0" fontId="0" fillId="0" borderId="15" xfId="0" applyFill="1" applyBorder="1"/>
    <xf numFmtId="0" fontId="0" fillId="0" borderId="15" xfId="0" applyBorder="1"/>
    <xf numFmtId="0" fontId="0" fillId="0" borderId="13" xfId="0" applyFill="1" applyBorder="1"/>
    <xf numFmtId="0" fontId="0" fillId="0" borderId="16" xfId="0" applyFill="1" applyBorder="1"/>
    <xf numFmtId="0" fontId="0" fillId="0" borderId="16" xfId="0" applyBorder="1"/>
    <xf numFmtId="0" fontId="2" fillId="2" borderId="0" xfId="0" applyFont="1" applyFill="1"/>
    <xf numFmtId="2" fontId="4" fillId="0" borderId="0" xfId="0" applyNumberFormat="1" applyFont="1"/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7" fillId="0" borderId="0" xfId="0" applyFont="1"/>
    <xf numFmtId="11" fontId="0" fillId="0" borderId="0" xfId="0" applyNumberFormat="1"/>
    <xf numFmtId="0" fontId="4" fillId="0" borderId="0" xfId="0" applyFont="1"/>
    <xf numFmtId="11" fontId="3" fillId="0" borderId="0" xfId="0" applyNumberFormat="1" applyFont="1"/>
    <xf numFmtId="0" fontId="3" fillId="0" borderId="16" xfId="0" applyFont="1" applyBorder="1"/>
    <xf numFmtId="2" fontId="6" fillId="0" borderId="0" xfId="0" applyNumberFormat="1" applyFont="1"/>
    <xf numFmtId="2" fontId="0" fillId="0" borderId="0" xfId="0" applyNumberFormat="1" applyFill="1"/>
    <xf numFmtId="11" fontId="0" fillId="0" borderId="0" xfId="0" applyNumberFormat="1" applyAlignment="1"/>
    <xf numFmtId="2" fontId="4" fillId="0" borderId="0" xfId="0" applyNumberFormat="1" applyFont="1" applyFill="1"/>
    <xf numFmtId="166" fontId="0" fillId="0" borderId="0" xfId="0" applyNumberFormat="1"/>
    <xf numFmtId="2" fontId="4" fillId="2" borderId="8" xfId="0" applyNumberFormat="1" applyFont="1" applyFill="1" applyBorder="1"/>
    <xf numFmtId="1" fontId="0" fillId="0" borderId="0" xfId="0" applyNumberFormat="1"/>
    <xf numFmtId="0" fontId="7" fillId="0" borderId="0" xfId="0" applyFont="1" applyAlignment="1">
      <alignment horizontal="justify" vertical="center"/>
    </xf>
    <xf numFmtId="2" fontId="7" fillId="0" borderId="0" xfId="0" applyNumberFormat="1" applyFont="1"/>
    <xf numFmtId="0" fontId="9" fillId="0" borderId="0" xfId="0" applyFont="1" applyAlignment="1">
      <alignment horizontal="justify" vertical="center"/>
    </xf>
    <xf numFmtId="0" fontId="6" fillId="0" borderId="0" xfId="0" applyFont="1"/>
    <xf numFmtId="11" fontId="2" fillId="2" borderId="0" xfId="0" applyNumberFormat="1" applyFont="1" applyFill="1"/>
    <xf numFmtId="0" fontId="7" fillId="0" borderId="0" xfId="0" applyFont="1" applyBorder="1" applyAlignment="1">
      <alignment horizontal="justify" vertical="center"/>
    </xf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latin typeface="Times New Roman" panose="02020603050405020304" pitchFamily="18" charset="0"/>
                <a:cs typeface="Times New Roman" panose="02020603050405020304" pitchFamily="18" charset="0"/>
              </a:rPr>
              <a:t>Ontario </a:t>
            </a:r>
            <a:r>
              <a:rPr lang="en-CA" sz="1200">
                <a:latin typeface="Times New Roman" panose="02020603050405020304" pitchFamily="18" charset="0"/>
                <a:cs typeface="Times New Roman" panose="02020603050405020304" pitchFamily="18" charset="0"/>
              </a:rPr>
              <a:t>Case Production Cost Under Different Scenarios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64377440919446"/>
          <c:y val="0.1343268122588315"/>
          <c:w val="0.81691390139738307"/>
          <c:h val="0.444193164496991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'Maintenance &amp; Operations cost'!$R$4</c:f>
              <c:strCache>
                <c:ptCount val="1"/>
                <c:pt idx="0">
                  <c:v> Utility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cost'!$S$4:$V$4</c:f>
              <c:numCache>
                <c:formatCode>0</c:formatCode>
                <c:ptCount val="4"/>
                <c:pt idx="0">
                  <c:v>3.2717998567380362</c:v>
                </c:pt>
                <c:pt idx="1">
                  <c:v>5.7310100167380336</c:v>
                </c:pt>
                <c:pt idx="2">
                  <c:v>5.7310100167380362</c:v>
                </c:pt>
                <c:pt idx="3">
                  <c:v>6.2182612647380324</c:v>
                </c:pt>
              </c:numCache>
            </c:numRef>
          </c:val>
        </c:ser>
        <c:ser>
          <c:idx val="1"/>
          <c:order val="1"/>
          <c:tx>
            <c:strRef>
              <c:f>'Maintenance &amp; Operations cost'!$R$5</c:f>
              <c:strCache>
                <c:ptCount val="1"/>
                <c:pt idx="0">
                  <c:v>Operations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cost'!$S$5:$V$5</c:f>
              <c:numCache>
                <c:formatCode>0</c:formatCode>
                <c:ptCount val="4"/>
                <c:pt idx="0">
                  <c:v>0.36519685039370076</c:v>
                </c:pt>
                <c:pt idx="1">
                  <c:v>0.36519685039370076</c:v>
                </c:pt>
                <c:pt idx="2">
                  <c:v>0.36519685039370076</c:v>
                </c:pt>
                <c:pt idx="3">
                  <c:v>0.36519685039370076</c:v>
                </c:pt>
              </c:numCache>
            </c:numRef>
          </c:val>
        </c:ser>
        <c:ser>
          <c:idx val="2"/>
          <c:order val="2"/>
          <c:tx>
            <c:strRef>
              <c:f>'Maintenance &amp; Operations cost'!$R$6</c:f>
              <c:strCache>
                <c:ptCount val="1"/>
                <c:pt idx="0">
                  <c:v>Maintenance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cost'!$S$6:$V$6</c:f>
              <c:numCache>
                <c:formatCode>0</c:formatCode>
                <c:ptCount val="4"/>
                <c:pt idx="0">
                  <c:v>10.209556282034882</c:v>
                </c:pt>
                <c:pt idx="1">
                  <c:v>11.433500554694447</c:v>
                </c:pt>
                <c:pt idx="2">
                  <c:v>11.433500554694447</c:v>
                </c:pt>
                <c:pt idx="3">
                  <c:v>12.105748701227141</c:v>
                </c:pt>
              </c:numCache>
            </c:numRef>
          </c:val>
        </c:ser>
        <c:ser>
          <c:idx val="3"/>
          <c:order val="3"/>
          <c:tx>
            <c:strRef>
              <c:f>'Maintenance &amp; Operations cost'!$R$7</c:f>
              <c:strCache>
                <c:ptCount val="1"/>
                <c:pt idx="0">
                  <c:v>Operating Overhead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cost'!$S$7:$V$7</c:f>
              <c:numCache>
                <c:formatCode>0</c:formatCode>
                <c:ptCount val="4"/>
                <c:pt idx="0">
                  <c:v>1.3229050654852876</c:v>
                </c:pt>
                <c:pt idx="1">
                  <c:v>1.4745677253583209</c:v>
                </c:pt>
                <c:pt idx="2">
                  <c:v>1.4745677253583209</c:v>
                </c:pt>
                <c:pt idx="3">
                  <c:v>1.5578680391678066</c:v>
                </c:pt>
              </c:numCache>
            </c:numRef>
          </c:val>
        </c:ser>
        <c:ser>
          <c:idx val="4"/>
          <c:order val="4"/>
          <c:tx>
            <c:strRef>
              <c:f>'Maintenance &amp; Operations cost'!$R$8</c:f>
              <c:strCache>
                <c:ptCount val="1"/>
                <c:pt idx="0">
                  <c:v>Property Taxes and Insurance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cost'!$S$8:$V$8</c:f>
              <c:numCache>
                <c:formatCode>0</c:formatCode>
                <c:ptCount val="4"/>
                <c:pt idx="0">
                  <c:v>1.9728611173014263</c:v>
                </c:pt>
                <c:pt idx="1">
                  <c:v>2.2093720878636613</c:v>
                </c:pt>
                <c:pt idx="2">
                  <c:v>2.2093720878636613</c:v>
                </c:pt>
                <c:pt idx="3">
                  <c:v>2.3392751113482393</c:v>
                </c:pt>
              </c:numCache>
            </c:numRef>
          </c:val>
        </c:ser>
        <c:ser>
          <c:idx val="5"/>
          <c:order val="5"/>
          <c:tx>
            <c:strRef>
              <c:f>'Maintenance &amp; Operations cost'!$R$9</c:f>
              <c:strCache>
                <c:ptCount val="1"/>
                <c:pt idx="0">
                  <c:v>Depreciation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cost'!$S$9:$V$9</c:f>
              <c:numCache>
                <c:formatCode>0</c:formatCode>
                <c:ptCount val="4"/>
                <c:pt idx="0">
                  <c:v>7.8914444692057053</c:v>
                </c:pt>
                <c:pt idx="1">
                  <c:v>8.8374883514546454</c:v>
                </c:pt>
                <c:pt idx="2">
                  <c:v>8.8374883514546454</c:v>
                </c:pt>
                <c:pt idx="3">
                  <c:v>9.3571004453929572</c:v>
                </c:pt>
              </c:numCache>
            </c:numRef>
          </c:val>
        </c:ser>
        <c:ser>
          <c:idx val="6"/>
          <c:order val="6"/>
          <c:tx>
            <c:strRef>
              <c:f>'Maintenance &amp; Operations cost'!$R$10</c:f>
              <c:strCache>
                <c:ptCount val="1"/>
                <c:pt idx="0">
                  <c:v>General Expenses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cost'!$S$10:$V$10</c:f>
              <c:numCache>
                <c:formatCode>0</c:formatCode>
                <c:ptCount val="4"/>
                <c:pt idx="0">
                  <c:v>5.7834299165557903</c:v>
                </c:pt>
                <c:pt idx="1">
                  <c:v>8.2301788383665251</c:v>
                </c:pt>
                <c:pt idx="2">
                  <c:v>8.2301788383665251</c:v>
                </c:pt>
                <c:pt idx="3">
                  <c:v>8.4312517985467252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781584"/>
        <c:axId val="429783544"/>
      </c:barChart>
      <c:catAx>
        <c:axId val="42978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9783544"/>
        <c:crosses val="autoZero"/>
        <c:auto val="1"/>
        <c:lblAlgn val="ctr"/>
        <c:lblOffset val="100"/>
        <c:noMultiLvlLbl val="0"/>
      </c:catAx>
      <c:valAx>
        <c:axId val="429783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Production Cost by Section (million 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8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75666940976431"/>
          <c:y val="0.71244248802821597"/>
          <c:w val="0.7736245873627362"/>
          <c:h val="0.26371251571281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CA" sz="1200">
                <a:latin typeface="Times New Roman" panose="02020603050405020304" pitchFamily="18" charset="0"/>
                <a:cs typeface="Times New Roman" panose="02020603050405020304" pitchFamily="18" charset="0"/>
              </a:rPr>
              <a:t>Base Case Production Cost by Sections-NG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5555555555555552E-2"/>
                  <c:y val="4.62981189851268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6399825021873"/>
                      <c:h val="0.1463659230096237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'Maintenance &amp; Operations cost'!$R$4:$R$10</c:f>
              <c:strCache>
                <c:ptCount val="7"/>
                <c:pt idx="0">
                  <c:v> Utility </c:v>
                </c:pt>
                <c:pt idx="1">
                  <c:v>Operations</c:v>
                </c:pt>
                <c:pt idx="2">
                  <c:v>Maintenance </c:v>
                </c:pt>
                <c:pt idx="3">
                  <c:v>Operating Overhead </c:v>
                </c:pt>
                <c:pt idx="4">
                  <c:v>Property Taxes and Insurance</c:v>
                </c:pt>
                <c:pt idx="5">
                  <c:v>Depreciation</c:v>
                </c:pt>
                <c:pt idx="6">
                  <c:v>General Expenses</c:v>
                </c:pt>
              </c:strCache>
            </c:strRef>
          </c:cat>
          <c:val>
            <c:numRef>
              <c:f>'Maintenance &amp; Operations cost'!$T$4:$T$10</c:f>
              <c:numCache>
                <c:formatCode>0</c:formatCode>
                <c:ptCount val="7"/>
                <c:pt idx="0">
                  <c:v>5.7310100167380336</c:v>
                </c:pt>
                <c:pt idx="1">
                  <c:v>0.36519685039370076</c:v>
                </c:pt>
                <c:pt idx="2">
                  <c:v>11.433500554694447</c:v>
                </c:pt>
                <c:pt idx="3">
                  <c:v>1.4745677253583209</c:v>
                </c:pt>
                <c:pt idx="4">
                  <c:v>2.2093720878636613</c:v>
                </c:pt>
                <c:pt idx="5">
                  <c:v>8.8374883514546454</c:v>
                </c:pt>
                <c:pt idx="6">
                  <c:v>8.2301788383665251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CA" sz="1200">
                <a:latin typeface="Times New Roman" panose="02020603050405020304" pitchFamily="18" charset="0"/>
                <a:cs typeface="Times New Roman" panose="02020603050405020304" pitchFamily="18" charset="0"/>
              </a:rPr>
              <a:t>Base Case Production Cost by Sections-COG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5555555555555552E-2"/>
                  <c:y val="4.62981189851268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6399825021873"/>
                      <c:h val="0.1463659230096237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'Maintenance &amp; Operations cost'!$R$4:$R$10</c:f>
              <c:strCache>
                <c:ptCount val="7"/>
                <c:pt idx="0">
                  <c:v> Utility </c:v>
                </c:pt>
                <c:pt idx="1">
                  <c:v>Operations</c:v>
                </c:pt>
                <c:pt idx="2">
                  <c:v>Maintenance </c:v>
                </c:pt>
                <c:pt idx="3">
                  <c:v>Operating Overhead </c:v>
                </c:pt>
                <c:pt idx="4">
                  <c:v>Property Taxes and Insurance</c:v>
                </c:pt>
                <c:pt idx="5">
                  <c:v>Depreciation</c:v>
                </c:pt>
                <c:pt idx="6">
                  <c:v>General Expenses</c:v>
                </c:pt>
              </c:strCache>
            </c:strRef>
          </c:cat>
          <c:val>
            <c:numRef>
              <c:f>'Maintenance &amp; Operations cost'!$S$4:$S$10</c:f>
              <c:numCache>
                <c:formatCode>0</c:formatCode>
                <c:ptCount val="7"/>
                <c:pt idx="0">
                  <c:v>3.2717998567380362</c:v>
                </c:pt>
                <c:pt idx="1">
                  <c:v>0.36519685039370076</c:v>
                </c:pt>
                <c:pt idx="2">
                  <c:v>10.209556282034882</c:v>
                </c:pt>
                <c:pt idx="3">
                  <c:v>1.3229050654852876</c:v>
                </c:pt>
                <c:pt idx="4">
                  <c:v>1.9728611173014263</c:v>
                </c:pt>
                <c:pt idx="5">
                  <c:v>7.8914444692057053</c:v>
                </c:pt>
                <c:pt idx="6">
                  <c:v>5.7834299165557903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CA" sz="1200">
                <a:latin typeface="Times New Roman" panose="02020603050405020304" pitchFamily="18" charset="0"/>
                <a:cs typeface="Times New Roman" panose="02020603050405020304" pitchFamily="18" charset="0"/>
              </a:rPr>
              <a:t>Base Case Production Cost by Sections-WGS_NG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5555555555555552E-2"/>
                  <c:y val="4.62981189851268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6399825021873"/>
                      <c:h val="0.1463659230096237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'Maintenance &amp; Operations cost'!$R$4:$R$10</c:f>
              <c:strCache>
                <c:ptCount val="7"/>
                <c:pt idx="0">
                  <c:v> Utility </c:v>
                </c:pt>
                <c:pt idx="1">
                  <c:v>Operations</c:v>
                </c:pt>
                <c:pt idx="2">
                  <c:v>Maintenance </c:v>
                </c:pt>
                <c:pt idx="3">
                  <c:v>Operating Overhead </c:v>
                </c:pt>
                <c:pt idx="4">
                  <c:v>Property Taxes and Insurance</c:v>
                </c:pt>
                <c:pt idx="5">
                  <c:v>Depreciation</c:v>
                </c:pt>
                <c:pt idx="6">
                  <c:v>General Expenses</c:v>
                </c:pt>
              </c:strCache>
            </c:strRef>
          </c:cat>
          <c:val>
            <c:numRef>
              <c:f>'Maintenance &amp; Operations cost'!$V$4:$V$10</c:f>
              <c:numCache>
                <c:formatCode>0</c:formatCode>
                <c:ptCount val="7"/>
                <c:pt idx="0">
                  <c:v>6.2182612647380324</c:v>
                </c:pt>
                <c:pt idx="1">
                  <c:v>0.36519685039370076</c:v>
                </c:pt>
                <c:pt idx="2">
                  <c:v>12.105748701227141</c:v>
                </c:pt>
                <c:pt idx="3">
                  <c:v>1.5578680391678066</c:v>
                </c:pt>
                <c:pt idx="4">
                  <c:v>2.3392751113482393</c:v>
                </c:pt>
                <c:pt idx="5">
                  <c:v>9.3571004453929572</c:v>
                </c:pt>
                <c:pt idx="6">
                  <c:v>8.4312517985467252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295274</xdr:colOff>
      <xdr:row>11</xdr:row>
      <xdr:rowOff>33336</xdr:rowOff>
    </xdr:from>
    <xdr:to>
      <xdr:col>21</xdr:col>
      <xdr:colOff>428625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314324</xdr:colOff>
      <xdr:row>27</xdr:row>
      <xdr:rowOff>119061</xdr:rowOff>
    </xdr:from>
    <xdr:to>
      <xdr:col>30</xdr:col>
      <xdr:colOff>304799</xdr:colOff>
      <xdr:row>43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114300</xdr:colOff>
      <xdr:row>11</xdr:row>
      <xdr:rowOff>19050</xdr:rowOff>
    </xdr:from>
    <xdr:to>
      <xdr:col>30</xdr:col>
      <xdr:colOff>104775</xdr:colOff>
      <xdr:row>26</xdr:row>
      <xdr:rowOff>147638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314325</xdr:colOff>
      <xdr:row>28</xdr:row>
      <xdr:rowOff>152400</xdr:rowOff>
    </xdr:from>
    <xdr:to>
      <xdr:col>21</xdr:col>
      <xdr:colOff>304800</xdr:colOff>
      <xdr:row>44</xdr:row>
      <xdr:rowOff>100013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44"/>
  <sheetViews>
    <sheetView workbookViewId="0">
      <selection activeCell="C33" sqref="C33"/>
    </sheetView>
  </sheetViews>
  <sheetFormatPr defaultRowHeight="15" x14ac:dyDescent="0.25"/>
  <cols>
    <col min="2" max="2" width="53.42578125" bestFit="1" customWidth="1"/>
    <col min="3" max="3" width="29.28515625" bestFit="1" customWidth="1"/>
    <col min="8" max="8" width="9.85546875" customWidth="1"/>
    <col min="11" max="11" width="12.7109375" customWidth="1"/>
  </cols>
  <sheetData>
    <row r="2" spans="1:8" x14ac:dyDescent="0.25">
      <c r="B2" t="s">
        <v>90</v>
      </c>
    </row>
    <row r="3" spans="1:8" x14ac:dyDescent="0.25">
      <c r="C3" t="s">
        <v>110</v>
      </c>
      <c r="D3" t="s">
        <v>111</v>
      </c>
      <c r="E3" t="s">
        <v>175</v>
      </c>
      <c r="F3" t="s">
        <v>237</v>
      </c>
    </row>
    <row r="4" spans="1:8" x14ac:dyDescent="0.25">
      <c r="A4" s="18"/>
      <c r="B4" s="19" t="s">
        <v>112</v>
      </c>
      <c r="C4" s="19"/>
      <c r="D4" s="19"/>
      <c r="E4" s="19"/>
      <c r="F4" s="19"/>
      <c r="G4" s="19"/>
      <c r="H4" s="20"/>
    </row>
    <row r="5" spans="1:8" x14ac:dyDescent="0.25">
      <c r="A5" s="21"/>
      <c r="B5" s="42" t="s">
        <v>113</v>
      </c>
      <c r="C5" s="65">
        <f>'COG utility'!C24</f>
        <v>35.378898884111997</v>
      </c>
      <c r="D5" s="65">
        <f>'NG utility'!C24</f>
        <v>39.62019982472254</v>
      </c>
      <c r="E5" s="36">
        <f>'BFG utility'!C24</f>
        <v>39.62019982472254</v>
      </c>
      <c r="F5" s="22">
        <f>'NG utility with WGS'!C30</f>
        <v>41.949723120760581</v>
      </c>
      <c r="G5" s="22"/>
      <c r="H5" s="23"/>
    </row>
    <row r="6" spans="1:8" x14ac:dyDescent="0.25">
      <c r="C6" s="34"/>
      <c r="D6" s="34"/>
      <c r="E6" s="34"/>
    </row>
    <row r="7" spans="1:8" x14ac:dyDescent="0.25">
      <c r="A7" s="9" t="s">
        <v>92</v>
      </c>
      <c r="B7" s="16"/>
      <c r="C7" s="37"/>
      <c r="D7" s="37"/>
      <c r="E7" s="37"/>
      <c r="F7" s="16"/>
      <c r="G7" s="16"/>
      <c r="H7" s="8"/>
    </row>
    <row r="8" spans="1:8" x14ac:dyDescent="0.25">
      <c r="A8" s="12"/>
      <c r="B8" s="4" t="s">
        <v>114</v>
      </c>
      <c r="C8" s="38">
        <f>0.714*C5</f>
        <v>25.260533803255964</v>
      </c>
      <c r="D8" s="38">
        <f>0.714*D5</f>
        <v>28.288822674851893</v>
      </c>
      <c r="E8" s="38">
        <f>0.714*E5</f>
        <v>28.288822674851893</v>
      </c>
      <c r="F8" s="38">
        <f>0.714*F5</f>
        <v>29.952102308223054</v>
      </c>
      <c r="G8" s="4"/>
      <c r="H8" s="11"/>
    </row>
    <row r="9" spans="1:8" x14ac:dyDescent="0.25">
      <c r="A9" s="12"/>
      <c r="B9" s="4"/>
      <c r="C9" s="38"/>
      <c r="D9" s="38"/>
      <c r="E9" s="38"/>
      <c r="F9" s="4"/>
      <c r="G9" s="4"/>
      <c r="H9" s="11"/>
    </row>
    <row r="10" spans="1:8" x14ac:dyDescent="0.25">
      <c r="A10" s="12" t="s">
        <v>93</v>
      </c>
      <c r="B10" s="4"/>
      <c r="C10" s="38"/>
      <c r="D10" s="38"/>
      <c r="E10" s="38"/>
      <c r="F10" s="4"/>
      <c r="G10" s="4"/>
      <c r="H10" s="11"/>
    </row>
    <row r="11" spans="1:8" x14ac:dyDescent="0.25">
      <c r="A11" s="12"/>
      <c r="B11" s="4" t="s">
        <v>115</v>
      </c>
      <c r="C11" s="38">
        <f>0.63*C5</f>
        <v>22.288706296990558</v>
      </c>
      <c r="D11" s="38">
        <f>0.63*D5</f>
        <v>24.960725889575201</v>
      </c>
      <c r="E11" s="38">
        <f>0.63*E5</f>
        <v>24.960725889575201</v>
      </c>
      <c r="F11" s="38">
        <f>0.63*F5</f>
        <v>26.428325566079167</v>
      </c>
      <c r="G11" s="4"/>
      <c r="H11" s="11"/>
    </row>
    <row r="12" spans="1:8" x14ac:dyDescent="0.25">
      <c r="A12" s="15"/>
      <c r="B12" s="17"/>
      <c r="C12" s="39"/>
      <c r="D12" s="39"/>
      <c r="E12" s="39"/>
      <c r="F12" s="17"/>
      <c r="G12" s="17"/>
      <c r="H12" s="14"/>
    </row>
    <row r="13" spans="1:8" x14ac:dyDescent="0.25">
      <c r="A13" s="26" t="s">
        <v>94</v>
      </c>
      <c r="B13" s="19"/>
      <c r="C13" s="40"/>
      <c r="D13" s="40"/>
      <c r="E13" s="40"/>
      <c r="F13" s="19"/>
      <c r="G13" s="19"/>
      <c r="H13" s="20"/>
    </row>
    <row r="14" spans="1:8" x14ac:dyDescent="0.25">
      <c r="A14" s="21"/>
      <c r="B14" s="22" t="s">
        <v>120</v>
      </c>
      <c r="C14" s="36">
        <f>C5+C8+C11</f>
        <v>82.928138984358512</v>
      </c>
      <c r="D14" s="36">
        <f>D5+D8+D11</f>
        <v>92.869748389149635</v>
      </c>
      <c r="E14" s="36">
        <f>E5+E8+E11</f>
        <v>92.869748389149635</v>
      </c>
      <c r="F14" s="36">
        <f>F5+F8+F11</f>
        <v>98.330150995062809</v>
      </c>
      <c r="G14" s="22"/>
      <c r="H14" s="23"/>
    </row>
    <row r="15" spans="1:8" x14ac:dyDescent="0.25">
      <c r="C15" s="34"/>
      <c r="D15" s="34"/>
      <c r="E15" s="34"/>
    </row>
    <row r="16" spans="1:8" x14ac:dyDescent="0.25">
      <c r="A16" s="9" t="s">
        <v>95</v>
      </c>
      <c r="B16" s="16"/>
      <c r="C16" s="37"/>
      <c r="D16" s="37"/>
      <c r="E16" s="37"/>
      <c r="F16" s="16"/>
      <c r="G16" s="16"/>
      <c r="H16" s="8"/>
    </row>
    <row r="17" spans="1:8" x14ac:dyDescent="0.25">
      <c r="A17" s="12"/>
      <c r="B17" s="4" t="s">
        <v>116</v>
      </c>
      <c r="C17" s="38">
        <f>0.08*C5</f>
        <v>2.8303119107289598</v>
      </c>
      <c r="D17" s="38">
        <f>0.08*D5</f>
        <v>3.1696159859778033</v>
      </c>
      <c r="E17" s="38">
        <f>0.08*E5</f>
        <v>3.1696159859778033</v>
      </c>
      <c r="F17" s="38">
        <f>0.08*F5</f>
        <v>3.3559778496608463</v>
      </c>
      <c r="G17" s="4"/>
      <c r="H17" s="11"/>
    </row>
    <row r="18" spans="1:8" x14ac:dyDescent="0.25">
      <c r="A18" s="12"/>
      <c r="B18" s="4"/>
      <c r="C18" s="38"/>
      <c r="D18" s="38"/>
      <c r="E18" s="38"/>
      <c r="F18" s="4"/>
      <c r="G18" s="4"/>
      <c r="H18" s="11"/>
    </row>
    <row r="19" spans="1:8" x14ac:dyDescent="0.25">
      <c r="A19" s="12" t="s">
        <v>96</v>
      </c>
      <c r="B19" s="4"/>
      <c r="C19" s="38"/>
      <c r="D19" s="38"/>
      <c r="E19" s="38"/>
      <c r="F19" s="4"/>
      <c r="G19" s="4"/>
      <c r="H19" s="11"/>
    </row>
    <row r="20" spans="1:8" x14ac:dyDescent="0.25">
      <c r="A20" s="12"/>
      <c r="B20" s="4" t="s">
        <v>117</v>
      </c>
      <c r="C20" s="38">
        <f>0.571*C5</f>
        <v>20.201351262827949</v>
      </c>
      <c r="D20" s="38">
        <f>0.571*D5</f>
        <v>22.62313409991657</v>
      </c>
      <c r="E20" s="38">
        <f>0.571*E5</f>
        <v>22.62313409991657</v>
      </c>
      <c r="F20" s="38">
        <f>0.571*F5</f>
        <v>23.953291901954291</v>
      </c>
      <c r="G20" s="4"/>
      <c r="H20" s="11"/>
    </row>
    <row r="21" spans="1:8" x14ac:dyDescent="0.25">
      <c r="A21" s="12"/>
      <c r="B21" s="4"/>
      <c r="C21" s="38"/>
      <c r="D21" s="38"/>
      <c r="E21" s="38"/>
      <c r="F21" s="4"/>
      <c r="G21" s="4"/>
      <c r="H21" s="11"/>
    </row>
    <row r="22" spans="1:8" x14ac:dyDescent="0.25">
      <c r="A22" s="12" t="s">
        <v>97</v>
      </c>
      <c r="B22" s="4"/>
      <c r="C22" s="38"/>
      <c r="D22" s="38"/>
      <c r="E22" s="38"/>
      <c r="F22" s="4"/>
      <c r="G22" s="4"/>
      <c r="H22" s="11"/>
    </row>
    <row r="23" spans="1:8" x14ac:dyDescent="0.25">
      <c r="A23" s="12"/>
      <c r="B23" s="4" t="s">
        <v>118</v>
      </c>
      <c r="C23" s="38">
        <f>0.296*C5</f>
        <v>10.472154069697151</v>
      </c>
      <c r="D23" s="38">
        <f>0.296*D5</f>
        <v>11.727579148117872</v>
      </c>
      <c r="E23" s="38">
        <f>0.296*E5</f>
        <v>11.727579148117872</v>
      </c>
      <c r="F23" s="38">
        <f>0.296*F5</f>
        <v>12.417118043745131</v>
      </c>
      <c r="G23" s="4"/>
      <c r="H23" s="11"/>
    </row>
    <row r="24" spans="1:8" x14ac:dyDescent="0.25">
      <c r="A24" s="12"/>
      <c r="B24" s="4"/>
      <c r="C24" s="38"/>
      <c r="D24" s="38"/>
      <c r="E24" s="38"/>
      <c r="F24" s="4"/>
      <c r="G24" s="4"/>
      <c r="H24" s="11"/>
    </row>
    <row r="25" spans="1:8" x14ac:dyDescent="0.25">
      <c r="A25" s="12" t="s">
        <v>98</v>
      </c>
      <c r="B25" s="4"/>
      <c r="C25" s="38"/>
      <c r="D25" s="38"/>
      <c r="E25" s="38"/>
      <c r="F25" s="4"/>
      <c r="G25" s="4"/>
      <c r="H25" s="11"/>
    </row>
    <row r="26" spans="1:8" x14ac:dyDescent="0.25">
      <c r="A26" s="12"/>
      <c r="B26" s="4" t="s">
        <v>119</v>
      </c>
      <c r="C26" s="38">
        <f>0.25*C5</f>
        <v>8.8447247210279993</v>
      </c>
      <c r="D26" s="38">
        <f>0.25*D5</f>
        <v>9.9050499561806351</v>
      </c>
      <c r="E26" s="38">
        <f>0.25*E5</f>
        <v>9.9050499561806351</v>
      </c>
      <c r="F26" s="38">
        <f>0.25*F5</f>
        <v>10.487430780190145</v>
      </c>
      <c r="G26" s="4"/>
      <c r="H26" s="11"/>
    </row>
    <row r="27" spans="1:8" x14ac:dyDescent="0.25">
      <c r="A27" s="15"/>
      <c r="B27" s="17"/>
      <c r="C27" s="39"/>
      <c r="D27" s="39"/>
      <c r="E27" s="39"/>
      <c r="F27" s="17"/>
      <c r="G27" s="17"/>
      <c r="H27" s="14"/>
    </row>
    <row r="28" spans="1:8" x14ac:dyDescent="0.25">
      <c r="A28" s="18" t="s">
        <v>99</v>
      </c>
      <c r="B28" s="19"/>
      <c r="C28" s="40"/>
      <c r="D28" s="40"/>
      <c r="E28" s="40"/>
      <c r="F28" s="19"/>
      <c r="G28" s="19"/>
      <c r="H28" s="20"/>
    </row>
    <row r="29" spans="1:8" x14ac:dyDescent="0.25">
      <c r="A29" s="21"/>
      <c r="B29" s="22" t="s">
        <v>100</v>
      </c>
      <c r="C29" s="36">
        <f>C17+C20+C23+C26</f>
        <v>42.348541964282063</v>
      </c>
      <c r="D29" s="36">
        <f>D17+D20+D23+D26</f>
        <v>47.425379190192878</v>
      </c>
      <c r="E29" s="36">
        <f>E17+E20+E23+E26</f>
        <v>47.425379190192878</v>
      </c>
      <c r="F29" s="36">
        <f>F17+F20+F23+F26</f>
        <v>50.213818575550413</v>
      </c>
      <c r="G29" s="22"/>
      <c r="H29" s="23"/>
    </row>
    <row r="30" spans="1:8" x14ac:dyDescent="0.25">
      <c r="C30" s="34"/>
      <c r="D30" s="34"/>
      <c r="E30" s="34"/>
    </row>
    <row r="31" spans="1:8" x14ac:dyDescent="0.25">
      <c r="A31" s="27" t="s">
        <v>101</v>
      </c>
      <c r="B31" s="24"/>
      <c r="C31" s="41"/>
      <c r="D31" s="41"/>
      <c r="E31" s="41"/>
      <c r="F31" s="24"/>
      <c r="G31" s="24"/>
      <c r="H31" s="25"/>
    </row>
    <row r="32" spans="1:8" x14ac:dyDescent="0.25">
      <c r="A32" s="21"/>
      <c r="B32" s="22" t="s">
        <v>121</v>
      </c>
      <c r="C32" s="36">
        <f>C14+C29</f>
        <v>125.27668094864057</v>
      </c>
      <c r="D32" s="36">
        <f>D14+D29</f>
        <v>140.29512757934251</v>
      </c>
      <c r="E32" s="36">
        <f>E14+E29</f>
        <v>140.29512757934251</v>
      </c>
      <c r="F32" s="36">
        <f>F14+F29</f>
        <v>148.54396957061323</v>
      </c>
      <c r="G32" s="22"/>
      <c r="H32" s="23"/>
    </row>
    <row r="33" spans="1:8" x14ac:dyDescent="0.25">
      <c r="C33" s="34"/>
      <c r="D33" s="34"/>
      <c r="E33" s="34"/>
    </row>
    <row r="34" spans="1:8" x14ac:dyDescent="0.25">
      <c r="A34" s="9" t="s">
        <v>102</v>
      </c>
      <c r="B34" s="16"/>
      <c r="C34" s="37"/>
      <c r="D34" s="37"/>
      <c r="E34" s="37"/>
      <c r="F34" s="16"/>
      <c r="G34" s="16"/>
      <c r="H34" s="8"/>
    </row>
    <row r="35" spans="1:8" x14ac:dyDescent="0.25">
      <c r="A35" s="12"/>
      <c r="B35" s="4" t="s">
        <v>103</v>
      </c>
      <c r="C35" s="38">
        <f>0.02*C32</f>
        <v>2.5055336189728115</v>
      </c>
      <c r="D35" s="38">
        <f>0.02*D32</f>
        <v>2.8059025515868501</v>
      </c>
      <c r="E35" s="38">
        <f>0.02*E32</f>
        <v>2.8059025515868501</v>
      </c>
      <c r="F35" s="38">
        <f>0.02*F32</f>
        <v>2.9708793914122644</v>
      </c>
      <c r="G35" s="4"/>
      <c r="H35" s="11"/>
    </row>
    <row r="36" spans="1:8" x14ac:dyDescent="0.25">
      <c r="A36" s="12"/>
      <c r="B36" s="4"/>
      <c r="C36" s="38"/>
      <c r="D36" s="38"/>
      <c r="E36" s="38"/>
      <c r="F36" s="4"/>
      <c r="G36" s="4"/>
      <c r="H36" s="11"/>
    </row>
    <row r="37" spans="1:8" x14ac:dyDescent="0.25">
      <c r="A37" s="12" t="s">
        <v>104</v>
      </c>
      <c r="B37" s="4"/>
      <c r="C37" s="38"/>
      <c r="D37" s="38"/>
      <c r="E37" s="38"/>
      <c r="F37" s="4"/>
      <c r="G37" s="4"/>
      <c r="H37" s="11"/>
    </row>
    <row r="38" spans="1:8" x14ac:dyDescent="0.25">
      <c r="A38" s="12"/>
      <c r="B38" s="4" t="s">
        <v>105</v>
      </c>
      <c r="C38" s="38">
        <f>0.02*C32</f>
        <v>2.5055336189728115</v>
      </c>
      <c r="D38" s="38">
        <f>0.02*D32</f>
        <v>2.8059025515868501</v>
      </c>
      <c r="E38" s="38">
        <f>0.02*E32</f>
        <v>2.8059025515868501</v>
      </c>
      <c r="F38" s="38">
        <f>0.02*F32</f>
        <v>2.9708793914122644</v>
      </c>
      <c r="G38" s="4"/>
      <c r="H38" s="11"/>
    </row>
    <row r="39" spans="1:8" x14ac:dyDescent="0.25">
      <c r="A39" s="12"/>
      <c r="B39" s="4"/>
      <c r="C39" s="38"/>
      <c r="D39" s="38"/>
      <c r="E39" s="38"/>
      <c r="F39" s="4"/>
      <c r="G39" s="4"/>
      <c r="H39" s="11"/>
    </row>
    <row r="40" spans="1:8" x14ac:dyDescent="0.25">
      <c r="A40" s="12" t="s">
        <v>106</v>
      </c>
      <c r="B40" s="4"/>
      <c r="C40" s="38"/>
      <c r="D40" s="38"/>
      <c r="E40" s="38"/>
      <c r="F40" s="4"/>
      <c r="G40" s="4"/>
      <c r="H40" s="11"/>
    </row>
    <row r="41" spans="1:8" x14ac:dyDescent="0.25">
      <c r="A41" s="12"/>
      <c r="B41" s="4" t="s">
        <v>107</v>
      </c>
      <c r="C41" s="38">
        <f>0.1*C32</f>
        <v>12.527668094864058</v>
      </c>
      <c r="D41" s="38">
        <f>0.1*D32</f>
        <v>14.029512757934251</v>
      </c>
      <c r="E41" s="38">
        <f>0.1*E32</f>
        <v>14.029512757934251</v>
      </c>
      <c r="F41" s="38">
        <f>0.1*F32</f>
        <v>14.854396957061324</v>
      </c>
      <c r="G41" s="4"/>
      <c r="H41" s="11"/>
    </row>
    <row r="42" spans="1:8" x14ac:dyDescent="0.25">
      <c r="A42" s="15"/>
      <c r="B42" s="17"/>
      <c r="C42" s="39"/>
      <c r="D42" s="39"/>
      <c r="E42" s="39"/>
      <c r="F42" s="17"/>
      <c r="G42" s="17"/>
      <c r="H42" s="14"/>
    </row>
    <row r="43" spans="1:8" x14ac:dyDescent="0.25">
      <c r="A43" s="18" t="s">
        <v>108</v>
      </c>
      <c r="B43" s="19"/>
      <c r="C43" s="40"/>
      <c r="D43" s="40"/>
      <c r="E43" s="40"/>
      <c r="F43" s="19"/>
      <c r="G43" s="19"/>
      <c r="H43" s="20"/>
    </row>
    <row r="44" spans="1:8" x14ac:dyDescent="0.25">
      <c r="A44" s="21"/>
      <c r="B44" s="22" t="s">
        <v>109</v>
      </c>
      <c r="C44" s="36">
        <f>C32+C35+C38+C41</f>
        <v>142.81541628145024</v>
      </c>
      <c r="D44" s="36">
        <f>D32+D35+D38+D41</f>
        <v>159.93644544045046</v>
      </c>
      <c r="E44" s="36">
        <f>E32+E35+E38+E41</f>
        <v>159.93644544045046</v>
      </c>
      <c r="F44" s="36">
        <f>F32+F35+F38+F41</f>
        <v>169.34012531049908</v>
      </c>
      <c r="G44" s="22"/>
      <c r="H44" s="23"/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D31"/>
  <sheetViews>
    <sheetView tabSelected="1" topLeftCell="A31" workbookViewId="0">
      <selection activeCell="H31" sqref="H31"/>
    </sheetView>
  </sheetViews>
  <sheetFormatPr defaultRowHeight="15" x14ac:dyDescent="0.25"/>
  <cols>
    <col min="3" max="3" width="19.7109375" bestFit="1" customWidth="1"/>
    <col min="4" max="8" width="24.85546875" bestFit="1" customWidth="1"/>
  </cols>
  <sheetData>
    <row r="1" spans="2:30" x14ac:dyDescent="0.25">
      <c r="C1" t="s">
        <v>127</v>
      </c>
      <c r="D1">
        <f>'COG utility'!I17</f>
        <v>6.5659796367074357</v>
      </c>
      <c r="E1">
        <v>6.5</v>
      </c>
      <c r="F1">
        <v>5.5</v>
      </c>
      <c r="G1">
        <v>4.5</v>
      </c>
      <c r="H1">
        <v>3.5</v>
      </c>
      <c r="K1" s="74" t="s">
        <v>264</v>
      </c>
      <c r="L1" s="74"/>
      <c r="M1" s="74"/>
      <c r="N1" s="74"/>
      <c r="O1" s="74" t="s">
        <v>265</v>
      </c>
      <c r="P1" s="74"/>
      <c r="Q1" s="74"/>
      <c r="R1" s="74"/>
      <c r="S1" s="74" t="s">
        <v>266</v>
      </c>
      <c r="T1" s="74"/>
      <c r="U1" s="74"/>
      <c r="V1" s="74"/>
      <c r="W1" s="74" t="s">
        <v>267</v>
      </c>
      <c r="X1" s="74"/>
      <c r="Y1" s="74"/>
      <c r="Z1" s="74"/>
      <c r="AA1" s="74" t="s">
        <v>268</v>
      </c>
      <c r="AB1" s="74"/>
      <c r="AC1" s="74"/>
      <c r="AD1" s="74"/>
    </row>
    <row r="2" spans="2:30" ht="18" x14ac:dyDescent="0.35">
      <c r="B2" s="75" t="s">
        <v>264</v>
      </c>
      <c r="C2" t="s">
        <v>132</v>
      </c>
      <c r="D2">
        <v>87</v>
      </c>
      <c r="E2">
        <v>85</v>
      </c>
      <c r="F2">
        <v>53</v>
      </c>
      <c r="G2">
        <v>20</v>
      </c>
      <c r="H2">
        <v>-12</v>
      </c>
      <c r="J2" t="s">
        <v>127</v>
      </c>
      <c r="K2" t="s">
        <v>169</v>
      </c>
      <c r="L2" t="s">
        <v>282</v>
      </c>
      <c r="M2" t="s">
        <v>281</v>
      </c>
      <c r="N2" t="s">
        <v>280</v>
      </c>
      <c r="O2" t="s">
        <v>169</v>
      </c>
      <c r="P2" t="s">
        <v>278</v>
      </c>
      <c r="Q2" t="s">
        <v>279</v>
      </c>
      <c r="R2" t="s">
        <v>280</v>
      </c>
      <c r="S2" t="s">
        <v>169</v>
      </c>
      <c r="T2" t="s">
        <v>278</v>
      </c>
      <c r="U2" t="s">
        <v>279</v>
      </c>
      <c r="V2" t="s">
        <v>280</v>
      </c>
      <c r="W2" t="s">
        <v>169</v>
      </c>
      <c r="X2" t="s">
        <v>278</v>
      </c>
      <c r="Y2" t="s">
        <v>279</v>
      </c>
      <c r="Z2" t="s">
        <v>280</v>
      </c>
      <c r="AA2" t="s">
        <v>169</v>
      </c>
      <c r="AB2" t="s">
        <v>278</v>
      </c>
      <c r="AC2" t="s">
        <v>279</v>
      </c>
      <c r="AD2" t="s">
        <v>280</v>
      </c>
    </row>
    <row r="3" spans="2:30" x14ac:dyDescent="0.25">
      <c r="B3" s="75"/>
      <c r="C3" t="s">
        <v>278</v>
      </c>
      <c r="D3" t="s">
        <v>294</v>
      </c>
      <c r="E3" t="s">
        <v>304</v>
      </c>
      <c r="F3" t="s">
        <v>314</v>
      </c>
      <c r="G3" t="s">
        <v>324</v>
      </c>
      <c r="H3" t="s">
        <v>335</v>
      </c>
      <c r="J3" t="e">
        <f>'COG utility'!#REF!</f>
        <v>#REF!</v>
      </c>
      <c r="K3">
        <v>94</v>
      </c>
      <c r="L3" t="s">
        <v>283</v>
      </c>
      <c r="M3">
        <v>-54.16</v>
      </c>
      <c r="N3">
        <v>2</v>
      </c>
      <c r="O3">
        <v>-44</v>
      </c>
      <c r="P3" t="s">
        <v>283</v>
      </c>
      <c r="Q3">
        <v>34.159999999999997</v>
      </c>
      <c r="R3">
        <v>2</v>
      </c>
      <c r="S3">
        <v>-199</v>
      </c>
      <c r="T3" t="s">
        <v>283</v>
      </c>
      <c r="U3">
        <v>182.33</v>
      </c>
      <c r="V3">
        <v>2</v>
      </c>
      <c r="W3">
        <v>250</v>
      </c>
      <c r="X3" t="s">
        <v>284</v>
      </c>
      <c r="Y3">
        <v>-188.69</v>
      </c>
      <c r="Z3">
        <v>4</v>
      </c>
      <c r="AA3">
        <v>212</v>
      </c>
      <c r="AB3" t="s">
        <v>284</v>
      </c>
      <c r="AC3">
        <v>-163.19</v>
      </c>
      <c r="AD3">
        <v>4</v>
      </c>
    </row>
    <row r="4" spans="2:30" x14ac:dyDescent="0.25">
      <c r="B4" s="75"/>
      <c r="C4" t="s">
        <v>287</v>
      </c>
      <c r="D4" t="s">
        <v>295</v>
      </c>
      <c r="E4" t="s">
        <v>305</v>
      </c>
      <c r="F4" t="s">
        <v>315</v>
      </c>
      <c r="G4" t="s">
        <v>325</v>
      </c>
      <c r="H4" t="s">
        <v>336</v>
      </c>
      <c r="J4">
        <v>6.5</v>
      </c>
      <c r="K4">
        <v>92</v>
      </c>
      <c r="L4" t="s">
        <v>283</v>
      </c>
      <c r="M4">
        <v>-53.17</v>
      </c>
      <c r="N4">
        <v>2</v>
      </c>
      <c r="O4">
        <v>-46</v>
      </c>
      <c r="P4" t="s">
        <v>283</v>
      </c>
      <c r="Q4">
        <v>35.409999999999997</v>
      </c>
      <c r="R4">
        <v>2</v>
      </c>
      <c r="S4">
        <v>-199</v>
      </c>
      <c r="T4" t="s">
        <v>283</v>
      </c>
      <c r="U4">
        <v>183.71</v>
      </c>
      <c r="V4">
        <v>2</v>
      </c>
      <c r="W4">
        <v>248</v>
      </c>
      <c r="X4" t="s">
        <v>284</v>
      </c>
      <c r="Y4">
        <v>-188.53</v>
      </c>
      <c r="Z4">
        <v>4</v>
      </c>
      <c r="AA4">
        <v>210</v>
      </c>
      <c r="AB4" t="s">
        <v>284</v>
      </c>
      <c r="AC4">
        <v>-162.81</v>
      </c>
      <c r="AD4">
        <v>4</v>
      </c>
    </row>
    <row r="5" spans="2:30" x14ac:dyDescent="0.25">
      <c r="B5" s="75"/>
      <c r="C5" t="s">
        <v>286</v>
      </c>
      <c r="D5">
        <v>4</v>
      </c>
      <c r="E5">
        <v>4</v>
      </c>
      <c r="F5">
        <v>4</v>
      </c>
      <c r="G5">
        <v>4</v>
      </c>
      <c r="H5">
        <v>4</v>
      </c>
    </row>
    <row r="6" spans="2:30" x14ac:dyDescent="0.25">
      <c r="B6" s="75"/>
      <c r="C6" t="s">
        <v>280</v>
      </c>
      <c r="D6">
        <v>2</v>
      </c>
      <c r="E6">
        <v>2</v>
      </c>
      <c r="F6">
        <v>2</v>
      </c>
      <c r="G6">
        <v>2</v>
      </c>
      <c r="H6">
        <v>2</v>
      </c>
      <c r="J6">
        <v>5.5</v>
      </c>
      <c r="K6">
        <v>58</v>
      </c>
      <c r="L6" t="s">
        <v>283</v>
      </c>
      <c r="M6">
        <v>-35.369999999999997</v>
      </c>
      <c r="N6">
        <v>2</v>
      </c>
      <c r="O6">
        <v>-63</v>
      </c>
      <c r="P6" t="s">
        <v>283</v>
      </c>
      <c r="Q6">
        <v>58.02</v>
      </c>
      <c r="R6">
        <v>2</v>
      </c>
      <c r="S6">
        <v>-195</v>
      </c>
      <c r="T6" t="s">
        <v>283</v>
      </c>
      <c r="U6">
        <v>208.7</v>
      </c>
      <c r="V6">
        <v>2</v>
      </c>
      <c r="W6">
        <v>206</v>
      </c>
      <c r="X6" t="s">
        <v>284</v>
      </c>
      <c r="Y6">
        <v>-185.75</v>
      </c>
      <c r="Z6">
        <v>4</v>
      </c>
      <c r="AA6">
        <v>170</v>
      </c>
      <c r="AB6" t="s">
        <v>284</v>
      </c>
      <c r="AC6">
        <v>-155.91999999999999</v>
      </c>
      <c r="AD6">
        <v>4</v>
      </c>
    </row>
    <row r="7" spans="2:30" ht="18" x14ac:dyDescent="0.35">
      <c r="B7" s="75"/>
      <c r="C7" t="s">
        <v>293</v>
      </c>
      <c r="D7">
        <v>-15.352233449680785</v>
      </c>
      <c r="E7">
        <v>-14.975089619943354</v>
      </c>
      <c r="F7">
        <v>-9.2590255650629061</v>
      </c>
      <c r="G7">
        <v>-3.5429615101824576</v>
      </c>
      <c r="H7">
        <v>2.1731025446979806</v>
      </c>
      <c r="J7">
        <v>4.5</v>
      </c>
      <c r="K7">
        <v>25</v>
      </c>
      <c r="L7" t="s">
        <v>283</v>
      </c>
      <c r="M7">
        <v>-9.65</v>
      </c>
      <c r="N7">
        <v>2</v>
      </c>
      <c r="O7">
        <v>-81</v>
      </c>
      <c r="P7" t="s">
        <v>283</v>
      </c>
      <c r="Q7">
        <v>90.69</v>
      </c>
      <c r="R7">
        <v>2</v>
      </c>
      <c r="S7">
        <v>-192</v>
      </c>
      <c r="T7" t="s">
        <v>283</v>
      </c>
      <c r="U7">
        <v>244.79</v>
      </c>
      <c r="V7">
        <v>2</v>
      </c>
      <c r="W7">
        <v>165</v>
      </c>
      <c r="X7" t="s">
        <v>284</v>
      </c>
      <c r="Y7">
        <v>-181.72</v>
      </c>
      <c r="Z7">
        <v>4</v>
      </c>
      <c r="AA7">
        <v>130</v>
      </c>
      <c r="AB7" t="s">
        <v>284</v>
      </c>
      <c r="AC7">
        <v>-145.96</v>
      </c>
      <c r="AD7">
        <v>4</v>
      </c>
    </row>
    <row r="8" spans="2:30" x14ac:dyDescent="0.25">
      <c r="B8" s="75" t="s">
        <v>265</v>
      </c>
      <c r="C8" t="s">
        <v>132</v>
      </c>
      <c r="D8">
        <v>-44</v>
      </c>
      <c r="E8">
        <v>-46</v>
      </c>
      <c r="F8">
        <v>-63</v>
      </c>
      <c r="G8">
        <v>-81</v>
      </c>
      <c r="H8">
        <v>-98</v>
      </c>
      <c r="J8">
        <v>3.5</v>
      </c>
      <c r="K8">
        <v>-9</v>
      </c>
      <c r="L8" t="s">
        <v>283</v>
      </c>
      <c r="M8">
        <v>30.77</v>
      </c>
      <c r="N8">
        <v>2</v>
      </c>
      <c r="O8">
        <v>-98</v>
      </c>
      <c r="P8" t="s">
        <v>283</v>
      </c>
      <c r="Q8">
        <v>142.01</v>
      </c>
      <c r="R8">
        <v>2</v>
      </c>
      <c r="S8">
        <v>-188</v>
      </c>
      <c r="T8" t="s">
        <v>283</v>
      </c>
      <c r="U8">
        <v>301.51</v>
      </c>
      <c r="V8">
        <v>2</v>
      </c>
      <c r="W8">
        <v>124</v>
      </c>
      <c r="X8" t="s">
        <v>284</v>
      </c>
      <c r="Y8">
        <v>-175.38</v>
      </c>
      <c r="Z8">
        <v>4</v>
      </c>
      <c r="AA8">
        <v>91</v>
      </c>
      <c r="AB8" t="s">
        <v>283</v>
      </c>
      <c r="AC8">
        <v>-131</v>
      </c>
      <c r="AD8">
        <v>2</v>
      </c>
    </row>
    <row r="9" spans="2:30" x14ac:dyDescent="0.25">
      <c r="B9" s="75"/>
      <c r="C9" t="s">
        <v>278</v>
      </c>
      <c r="D9" t="s">
        <v>296</v>
      </c>
      <c r="E9" t="s">
        <v>306</v>
      </c>
      <c r="F9" t="s">
        <v>316</v>
      </c>
      <c r="G9" t="s">
        <v>326</v>
      </c>
      <c r="H9" t="s">
        <v>337</v>
      </c>
    </row>
    <row r="10" spans="2:30" x14ac:dyDescent="0.25">
      <c r="B10" s="75"/>
      <c r="C10" t="s">
        <v>287</v>
      </c>
      <c r="D10" t="s">
        <v>297</v>
      </c>
      <c r="E10" t="s">
        <v>307</v>
      </c>
      <c r="F10" t="s">
        <v>317</v>
      </c>
      <c r="G10" t="s">
        <v>327</v>
      </c>
      <c r="H10" t="s">
        <v>338</v>
      </c>
    </row>
    <row r="11" spans="2:30" x14ac:dyDescent="0.25">
      <c r="B11" s="75"/>
      <c r="C11" t="s">
        <v>286</v>
      </c>
      <c r="D11">
        <v>9</v>
      </c>
      <c r="E11">
        <v>9</v>
      </c>
      <c r="F11">
        <v>9</v>
      </c>
      <c r="G11">
        <v>9</v>
      </c>
      <c r="H11">
        <v>9</v>
      </c>
    </row>
    <row r="12" spans="2:30" x14ac:dyDescent="0.25">
      <c r="B12" s="75"/>
      <c r="C12" t="s">
        <v>280</v>
      </c>
      <c r="D12">
        <v>2</v>
      </c>
      <c r="E12">
        <v>2</v>
      </c>
      <c r="F12">
        <v>2</v>
      </c>
      <c r="G12">
        <v>2</v>
      </c>
      <c r="H12">
        <v>2</v>
      </c>
    </row>
    <row r="13" spans="2:30" ht="18" x14ac:dyDescent="0.35">
      <c r="B13" s="75"/>
      <c r="C13" t="s">
        <v>293</v>
      </c>
      <c r="D13">
        <v>20.589371088605038</v>
      </c>
      <c r="E13">
        <v>21.128219096206735</v>
      </c>
      <c r="F13">
        <v>29.295102614996352</v>
      </c>
      <c r="G13">
        <v>37.461986133785985</v>
      </c>
      <c r="H13">
        <v>45.628869652575617</v>
      </c>
    </row>
    <row r="14" spans="2:30" x14ac:dyDescent="0.25">
      <c r="B14" s="75" t="s">
        <v>266</v>
      </c>
      <c r="C14" t="s">
        <v>132</v>
      </c>
      <c r="D14">
        <v>-211</v>
      </c>
      <c r="E14">
        <v>-210</v>
      </c>
      <c r="F14">
        <v>-205</v>
      </c>
      <c r="G14">
        <v>-200</v>
      </c>
      <c r="H14">
        <v>-195</v>
      </c>
    </row>
    <row r="15" spans="2:30" x14ac:dyDescent="0.25">
      <c r="B15" s="75"/>
      <c r="C15" t="s">
        <v>278</v>
      </c>
      <c r="D15" t="s">
        <v>298</v>
      </c>
      <c r="E15" t="s">
        <v>308</v>
      </c>
      <c r="F15" t="s">
        <v>318</v>
      </c>
      <c r="G15" t="s">
        <v>328</v>
      </c>
      <c r="H15" t="s">
        <v>339</v>
      </c>
    </row>
    <row r="16" spans="2:30" x14ac:dyDescent="0.25">
      <c r="B16" s="75"/>
      <c r="C16" t="s">
        <v>287</v>
      </c>
      <c r="D16" t="s">
        <v>299</v>
      </c>
      <c r="E16" t="s">
        <v>309</v>
      </c>
      <c r="F16" t="s">
        <v>319</v>
      </c>
      <c r="G16" t="s">
        <v>329</v>
      </c>
      <c r="H16" t="s">
        <v>340</v>
      </c>
    </row>
    <row r="17" spans="2:8" x14ac:dyDescent="0.25">
      <c r="B17" s="75"/>
      <c r="C17" t="s">
        <v>286</v>
      </c>
      <c r="D17">
        <v>-34</v>
      </c>
      <c r="E17">
        <v>-34</v>
      </c>
      <c r="F17">
        <v>-34</v>
      </c>
      <c r="G17">
        <v>-34</v>
      </c>
      <c r="H17">
        <v>-34</v>
      </c>
    </row>
    <row r="18" spans="2:8" x14ac:dyDescent="0.25">
      <c r="B18" s="75"/>
      <c r="C18" t="s">
        <v>280</v>
      </c>
      <c r="D18">
        <v>2</v>
      </c>
      <c r="E18">
        <v>2</v>
      </c>
      <c r="F18">
        <v>2</v>
      </c>
      <c r="G18">
        <v>2</v>
      </c>
      <c r="H18">
        <v>2</v>
      </c>
    </row>
    <row r="19" spans="2:8" ht="18" x14ac:dyDescent="0.35">
      <c r="B19" s="75"/>
      <c r="C19" t="s">
        <v>293</v>
      </c>
      <c r="D19">
        <v>51.313733792480406</v>
      </c>
      <c r="E19">
        <v>51.230919267674274</v>
      </c>
      <c r="F19">
        <v>49.975766482075343</v>
      </c>
      <c r="G19">
        <v>48.720613696476441</v>
      </c>
      <c r="H19">
        <v>47.465460910877511</v>
      </c>
    </row>
    <row r="20" spans="2:8" x14ac:dyDescent="0.25">
      <c r="B20" s="75" t="s">
        <v>267</v>
      </c>
      <c r="C20" t="s">
        <v>132</v>
      </c>
      <c r="D20">
        <v>246</v>
      </c>
      <c r="E20">
        <v>243</v>
      </c>
      <c r="F20">
        <v>203</v>
      </c>
      <c r="G20">
        <v>162</v>
      </c>
      <c r="H20">
        <v>122</v>
      </c>
    </row>
    <row r="21" spans="2:8" x14ac:dyDescent="0.25">
      <c r="B21" s="75"/>
      <c r="C21" t="s">
        <v>278</v>
      </c>
      <c r="D21" t="s">
        <v>300</v>
      </c>
      <c r="E21" t="s">
        <v>310</v>
      </c>
      <c r="F21" t="s">
        <v>320</v>
      </c>
      <c r="G21" t="s">
        <v>330</v>
      </c>
      <c r="H21" t="s">
        <v>341</v>
      </c>
    </row>
    <row r="22" spans="2:8" x14ac:dyDescent="0.25">
      <c r="B22" s="75"/>
      <c r="C22" t="s">
        <v>287</v>
      </c>
      <c r="D22" t="s">
        <v>301</v>
      </c>
      <c r="E22" t="s">
        <v>311</v>
      </c>
      <c r="F22" t="s">
        <v>321</v>
      </c>
      <c r="G22" t="s">
        <v>331</v>
      </c>
      <c r="H22" t="s">
        <v>342</v>
      </c>
    </row>
    <row r="23" spans="2:8" x14ac:dyDescent="0.25">
      <c r="B23" s="75"/>
      <c r="C23" t="s">
        <v>286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2:8" x14ac:dyDescent="0.25">
      <c r="B24" s="75"/>
      <c r="C24" t="s">
        <v>280</v>
      </c>
      <c r="D24">
        <v>4</v>
      </c>
      <c r="E24">
        <v>4</v>
      </c>
      <c r="F24">
        <v>4</v>
      </c>
      <c r="G24">
        <v>4</v>
      </c>
      <c r="H24">
        <v>4</v>
      </c>
    </row>
    <row r="25" spans="2:8" ht="18" x14ac:dyDescent="0.35">
      <c r="B25" s="75"/>
      <c r="C25" t="s">
        <v>293</v>
      </c>
      <c r="D25">
        <v>-557.2522429995862</v>
      </c>
      <c r="E25">
        <v>-551.20248448171333</v>
      </c>
      <c r="F25">
        <v>-459.51118668481837</v>
      </c>
      <c r="G25">
        <v>-367.81988888792318</v>
      </c>
      <c r="H25">
        <v>-276.12859109102806</v>
      </c>
    </row>
    <row r="26" spans="2:8" x14ac:dyDescent="0.25">
      <c r="B26" s="75" t="s">
        <v>268</v>
      </c>
      <c r="C26" t="s">
        <v>132</v>
      </c>
      <c r="D26">
        <v>212</v>
      </c>
      <c r="E26">
        <v>210</v>
      </c>
      <c r="F26">
        <v>170</v>
      </c>
      <c r="G26">
        <v>130</v>
      </c>
      <c r="H26">
        <v>91</v>
      </c>
    </row>
    <row r="27" spans="2:8" x14ac:dyDescent="0.25">
      <c r="B27" s="75"/>
      <c r="C27" t="s">
        <v>278</v>
      </c>
      <c r="D27" t="s">
        <v>302</v>
      </c>
      <c r="E27" t="s">
        <v>312</v>
      </c>
      <c r="F27" t="s">
        <v>322</v>
      </c>
      <c r="G27" t="s">
        <v>332</v>
      </c>
      <c r="H27" t="s">
        <v>343</v>
      </c>
    </row>
    <row r="28" spans="2:8" x14ac:dyDescent="0.25">
      <c r="B28" s="75"/>
      <c r="C28" t="s">
        <v>287</v>
      </c>
      <c r="D28" t="s">
        <v>303</v>
      </c>
      <c r="E28" t="s">
        <v>313</v>
      </c>
      <c r="F28" t="s">
        <v>323</v>
      </c>
      <c r="G28" t="s">
        <v>333</v>
      </c>
      <c r="H28" t="s">
        <v>344</v>
      </c>
    </row>
    <row r="29" spans="2:8" x14ac:dyDescent="0.25">
      <c r="B29" s="75"/>
      <c r="C29" t="s">
        <v>286</v>
      </c>
      <c r="D29">
        <v>1</v>
      </c>
      <c r="E29">
        <v>1</v>
      </c>
      <c r="F29">
        <v>1</v>
      </c>
      <c r="G29">
        <v>1</v>
      </c>
      <c r="H29">
        <v>1</v>
      </c>
    </row>
    <row r="30" spans="2:8" x14ac:dyDescent="0.25">
      <c r="B30" s="75"/>
      <c r="C30" t="s">
        <v>280</v>
      </c>
      <c r="D30">
        <v>4</v>
      </c>
      <c r="E30">
        <v>4</v>
      </c>
      <c r="F30">
        <v>4</v>
      </c>
      <c r="G30">
        <v>4</v>
      </c>
      <c r="H30">
        <v>2</v>
      </c>
    </row>
    <row r="31" spans="2:8" ht="18" x14ac:dyDescent="0.35">
      <c r="B31" s="75"/>
      <c r="C31" t="s">
        <v>293</v>
      </c>
      <c r="D31">
        <v>236.93786414236561</v>
      </c>
      <c r="E31">
        <v>234.00963826334072</v>
      </c>
      <c r="F31">
        <v>189.62888648671097</v>
      </c>
      <c r="G31">
        <v>145.24813471008122</v>
      </c>
      <c r="H31">
        <v>100.23582156528198</v>
      </c>
    </row>
  </sheetData>
  <mergeCells count="10">
    <mergeCell ref="B2:B7"/>
    <mergeCell ref="B8:B13"/>
    <mergeCell ref="B14:B19"/>
    <mergeCell ref="B20:B25"/>
    <mergeCell ref="B26:B31"/>
    <mergeCell ref="K1:N1"/>
    <mergeCell ref="O1:R1"/>
    <mergeCell ref="S1:V1"/>
    <mergeCell ref="W1:Z1"/>
    <mergeCell ref="AA1:A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4"/>
  <sheetViews>
    <sheetView workbookViewId="0">
      <selection activeCell="J13" sqref="J13"/>
    </sheetView>
  </sheetViews>
  <sheetFormatPr defaultRowHeight="15" x14ac:dyDescent="0.25"/>
  <cols>
    <col min="2" max="2" width="24.5703125" style="6" bestFit="1" customWidth="1"/>
    <col min="3" max="4" width="12.7109375" bestFit="1" customWidth="1"/>
    <col min="6" max="6" width="12.7109375" bestFit="1" customWidth="1"/>
  </cols>
  <sheetData>
    <row r="1" spans="1:10" x14ac:dyDescent="0.25">
      <c r="A1" t="s">
        <v>72</v>
      </c>
    </row>
    <row r="2" spans="1:10" x14ac:dyDescent="0.25">
      <c r="B2" s="6" t="s">
        <v>73</v>
      </c>
    </row>
    <row r="4" spans="1:10" x14ac:dyDescent="0.25">
      <c r="B4" s="7" t="s">
        <v>74</v>
      </c>
      <c r="C4" s="8" t="s">
        <v>75</v>
      </c>
      <c r="E4" s="9"/>
      <c r="F4" s="8" t="s">
        <v>76</v>
      </c>
    </row>
    <row r="5" spans="1:10" x14ac:dyDescent="0.25">
      <c r="B5" s="10" t="s">
        <v>77</v>
      </c>
      <c r="C5" s="11">
        <v>568.6</v>
      </c>
      <c r="E5" s="12">
        <v>2003</v>
      </c>
      <c r="F5" s="11">
        <v>402</v>
      </c>
    </row>
    <row r="6" spans="1:10" x14ac:dyDescent="0.25">
      <c r="B6" s="10" t="s">
        <v>78</v>
      </c>
      <c r="C6" s="11">
        <v>688</v>
      </c>
      <c r="E6" s="12">
        <v>2004</v>
      </c>
      <c r="F6" s="11">
        <v>444.2</v>
      </c>
    </row>
    <row r="7" spans="1:10" x14ac:dyDescent="0.25">
      <c r="B7" s="10" t="s">
        <v>79</v>
      </c>
      <c r="C7" s="11">
        <v>624.5</v>
      </c>
      <c r="E7" s="12">
        <v>2005</v>
      </c>
      <c r="F7" s="11">
        <v>468.2</v>
      </c>
    </row>
    <row r="8" spans="1:10" x14ac:dyDescent="0.25">
      <c r="B8" s="10" t="s">
        <v>80</v>
      </c>
      <c r="C8" s="11">
        <v>672.2</v>
      </c>
      <c r="E8" s="12">
        <v>2006</v>
      </c>
      <c r="F8" s="11">
        <v>499.6</v>
      </c>
    </row>
    <row r="9" spans="1:10" x14ac:dyDescent="0.25">
      <c r="B9" s="10" t="s">
        <v>81</v>
      </c>
      <c r="C9" s="11">
        <v>858.5</v>
      </c>
      <c r="E9" s="12">
        <v>2007</v>
      </c>
      <c r="F9" s="11">
        <v>525.4</v>
      </c>
    </row>
    <row r="10" spans="1:10" x14ac:dyDescent="0.25">
      <c r="B10" s="10" t="s">
        <v>82</v>
      </c>
      <c r="C10" s="11">
        <v>404</v>
      </c>
      <c r="E10" s="12">
        <v>2008</v>
      </c>
      <c r="F10" s="11">
        <v>575.4</v>
      </c>
      <c r="I10" t="s">
        <v>91</v>
      </c>
    </row>
    <row r="11" spans="1:10" x14ac:dyDescent="0.25">
      <c r="B11" s="10" t="s">
        <v>83</v>
      </c>
      <c r="C11" s="11">
        <v>953.5</v>
      </c>
      <c r="E11" s="12">
        <v>2009</v>
      </c>
      <c r="F11" s="11">
        <v>521.9</v>
      </c>
      <c r="I11">
        <v>2006</v>
      </c>
      <c r="J11">
        <v>499.6</v>
      </c>
    </row>
    <row r="12" spans="1:10" x14ac:dyDescent="0.25">
      <c r="B12" s="10" t="s">
        <v>84</v>
      </c>
      <c r="C12" s="11">
        <v>513.5</v>
      </c>
      <c r="E12" s="12">
        <v>2010</v>
      </c>
      <c r="F12" s="11">
        <v>550.79999999999995</v>
      </c>
      <c r="I12">
        <v>2016</v>
      </c>
      <c r="J12">
        <v>568.79999999999995</v>
      </c>
    </row>
    <row r="13" spans="1:10" x14ac:dyDescent="0.25">
      <c r="B13" s="10" t="s">
        <v>85</v>
      </c>
      <c r="C13" s="11">
        <v>745.9</v>
      </c>
      <c r="E13" s="12">
        <v>2011</v>
      </c>
      <c r="F13" s="11">
        <v>585.70000000000005</v>
      </c>
      <c r="I13">
        <v>2007</v>
      </c>
      <c r="J13">
        <f>F9</f>
        <v>525.4</v>
      </c>
    </row>
    <row r="14" spans="1:10" x14ac:dyDescent="0.25">
      <c r="B14" s="10" t="s">
        <v>86</v>
      </c>
      <c r="C14" s="11">
        <v>321.8</v>
      </c>
      <c r="E14" s="12">
        <v>2012</v>
      </c>
      <c r="F14" s="11">
        <v>584.6</v>
      </c>
    </row>
    <row r="15" spans="1:10" x14ac:dyDescent="0.25">
      <c r="B15" s="10" t="s">
        <v>87</v>
      </c>
      <c r="C15" s="11">
        <v>545.29999999999995</v>
      </c>
      <c r="E15" s="12">
        <v>2013</v>
      </c>
      <c r="F15" s="11">
        <v>567.29999999999995</v>
      </c>
    </row>
    <row r="16" spans="1:10" x14ac:dyDescent="0.25">
      <c r="B16" s="13" t="s">
        <v>88</v>
      </c>
      <c r="C16" s="14">
        <v>319</v>
      </c>
      <c r="E16" s="12">
        <v>2014</v>
      </c>
      <c r="F16" s="11">
        <v>576.1</v>
      </c>
    </row>
    <row r="17" spans="2:6" x14ac:dyDescent="0.25">
      <c r="E17" s="15">
        <v>2015</v>
      </c>
      <c r="F17" s="14">
        <v>556.79999999999995</v>
      </c>
    </row>
    <row r="18" spans="2:6" x14ac:dyDescent="0.25">
      <c r="E18" s="9">
        <v>1982</v>
      </c>
      <c r="F18" s="8">
        <v>314</v>
      </c>
    </row>
    <row r="19" spans="2:6" x14ac:dyDescent="0.25">
      <c r="E19" s="12">
        <v>1983</v>
      </c>
      <c r="F19" s="11">
        <v>317</v>
      </c>
    </row>
    <row r="20" spans="2:6" x14ac:dyDescent="0.25">
      <c r="B20" s="6" t="s">
        <v>89</v>
      </c>
      <c r="E20" s="12">
        <v>1984</v>
      </c>
      <c r="F20" s="11">
        <v>322.7</v>
      </c>
    </row>
    <row r="21" spans="2:6" x14ac:dyDescent="0.25">
      <c r="E21" s="12">
        <v>1985</v>
      </c>
      <c r="F21" s="11">
        <v>325.3</v>
      </c>
    </row>
    <row r="22" spans="2:6" x14ac:dyDescent="0.25">
      <c r="E22" s="12">
        <v>1986</v>
      </c>
      <c r="F22" s="11">
        <v>318.39999999999998</v>
      </c>
    </row>
    <row r="23" spans="2:6" x14ac:dyDescent="0.25">
      <c r="E23" s="12">
        <v>1987</v>
      </c>
      <c r="F23" s="11">
        <v>323.8</v>
      </c>
    </row>
    <row r="24" spans="2:6" x14ac:dyDescent="0.25">
      <c r="E24" s="12">
        <v>1988</v>
      </c>
      <c r="F24" s="11">
        <v>342.5</v>
      </c>
    </row>
    <row r="25" spans="2:6" x14ac:dyDescent="0.25">
      <c r="E25" s="12">
        <v>1989</v>
      </c>
      <c r="F25" s="11">
        <v>355.4</v>
      </c>
    </row>
    <row r="26" spans="2:6" x14ac:dyDescent="0.25">
      <c r="E26" s="12">
        <v>1990</v>
      </c>
      <c r="F26" s="11">
        <v>357.6</v>
      </c>
    </row>
    <row r="27" spans="2:6" x14ac:dyDescent="0.25">
      <c r="E27" s="12">
        <v>1991</v>
      </c>
      <c r="F27" s="11">
        <v>361.3</v>
      </c>
    </row>
    <row r="28" spans="2:6" x14ac:dyDescent="0.25">
      <c r="E28" s="12">
        <v>1992</v>
      </c>
      <c r="F28" s="11">
        <v>358.2</v>
      </c>
    </row>
    <row r="29" spans="2:6" x14ac:dyDescent="0.25">
      <c r="E29" s="12">
        <v>1993</v>
      </c>
      <c r="F29" s="11">
        <v>359.2</v>
      </c>
    </row>
    <row r="30" spans="2:6" x14ac:dyDescent="0.25">
      <c r="E30" s="12">
        <v>1994</v>
      </c>
      <c r="F30" s="11">
        <v>368.1</v>
      </c>
    </row>
    <row r="31" spans="2:6" x14ac:dyDescent="0.25">
      <c r="E31" s="12">
        <v>1995</v>
      </c>
      <c r="F31" s="11">
        <v>381.1</v>
      </c>
    </row>
    <row r="32" spans="2:6" x14ac:dyDescent="0.25">
      <c r="E32" s="12">
        <v>1996</v>
      </c>
      <c r="F32" s="11">
        <v>381.7</v>
      </c>
    </row>
    <row r="33" spans="5:6" x14ac:dyDescent="0.25">
      <c r="E33" s="12">
        <v>1997</v>
      </c>
      <c r="F33" s="11">
        <v>386.5</v>
      </c>
    </row>
    <row r="34" spans="5:6" x14ac:dyDescent="0.25">
      <c r="E34" s="12">
        <v>1998</v>
      </c>
      <c r="F34" s="11">
        <v>389.5</v>
      </c>
    </row>
    <row r="35" spans="5:6" x14ac:dyDescent="0.25">
      <c r="E35" s="12">
        <v>1999</v>
      </c>
      <c r="F35" s="11">
        <v>390.6</v>
      </c>
    </row>
    <row r="36" spans="5:6" x14ac:dyDescent="0.25">
      <c r="E36" s="15">
        <v>2000</v>
      </c>
      <c r="F36" s="14">
        <v>394.1</v>
      </c>
    </row>
    <row r="37" spans="5:6" x14ac:dyDescent="0.25">
      <c r="E37" s="4"/>
      <c r="F37" s="4"/>
    </row>
    <row r="38" spans="5:6" x14ac:dyDescent="0.25">
      <c r="E38" s="4"/>
      <c r="F38" s="4"/>
    </row>
    <row r="54" spans="2:2" x14ac:dyDescent="0.25">
      <c r="B54" s="6">
        <f>B49*62.169+50000000</f>
        <v>50000000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9"/>
  <sheetViews>
    <sheetView topLeftCell="A16" workbookViewId="0">
      <selection activeCell="M27" sqref="M27"/>
    </sheetView>
  </sheetViews>
  <sheetFormatPr defaultRowHeight="15" x14ac:dyDescent="0.25"/>
  <cols>
    <col min="1" max="1" width="6" customWidth="1"/>
    <col min="2" max="2" width="13.28515625" customWidth="1"/>
    <col min="3" max="3" width="27.85546875" bestFit="1" customWidth="1"/>
    <col min="5" max="5" width="11" bestFit="1" customWidth="1"/>
    <col min="8" max="8" width="12.7109375" bestFit="1" customWidth="1"/>
    <col min="18" max="18" width="27.42578125" bestFit="1" customWidth="1"/>
  </cols>
  <sheetData>
    <row r="1" spans="1:22" x14ac:dyDescent="0.25">
      <c r="A1" t="s">
        <v>26</v>
      </c>
      <c r="R1" t="s">
        <v>288</v>
      </c>
      <c r="S1">
        <f>NPV_sensitivity!N2</f>
        <v>1.27</v>
      </c>
    </row>
    <row r="3" spans="1:22" x14ac:dyDescent="0.25">
      <c r="B3" t="s">
        <v>27</v>
      </c>
      <c r="C3">
        <v>8000</v>
      </c>
      <c r="H3" t="s">
        <v>274</v>
      </c>
      <c r="I3" t="s">
        <v>275</v>
      </c>
      <c r="J3" t="s">
        <v>276</v>
      </c>
      <c r="K3" t="s">
        <v>289</v>
      </c>
      <c r="S3" t="s">
        <v>274</v>
      </c>
      <c r="T3" t="s">
        <v>275</v>
      </c>
      <c r="U3" t="s">
        <v>276</v>
      </c>
      <c r="V3" t="s">
        <v>289</v>
      </c>
    </row>
    <row r="4" spans="1:22" x14ac:dyDescent="0.25">
      <c r="A4" t="s">
        <v>257</v>
      </c>
      <c r="H4" s="56">
        <f>'COG utility'!F24*'COG utility'!I18</f>
        <v>3271799.856738036</v>
      </c>
      <c r="I4" s="56">
        <f>'NG utility'!F24*'NG utility'!I18</f>
        <v>5731010.0167380339</v>
      </c>
      <c r="J4" s="56">
        <f>'BFG utility'!F24*'BFG utility'!I18</f>
        <v>5731010.0167380366</v>
      </c>
      <c r="K4" s="56">
        <f>'NG utility with WGS'!F30*'NG utility with WGS'!I18</f>
        <v>6218261.2647380326</v>
      </c>
      <c r="R4" t="s">
        <v>252</v>
      </c>
      <c r="S4" s="66">
        <f>H4/1000000</f>
        <v>3.2717998567380362</v>
      </c>
      <c r="T4" s="66">
        <f t="shared" ref="T4:V4" si="0">I4/1000000</f>
        <v>5.7310100167380336</v>
      </c>
      <c r="U4" s="66">
        <f t="shared" si="0"/>
        <v>5.7310100167380362</v>
      </c>
      <c r="V4" s="66">
        <f t="shared" si="0"/>
        <v>6.2182612647380324</v>
      </c>
    </row>
    <row r="5" spans="1:22" x14ac:dyDescent="0.25">
      <c r="A5" s="4" t="s">
        <v>28</v>
      </c>
      <c r="B5" s="4"/>
      <c r="C5" s="4"/>
      <c r="D5" s="4"/>
      <c r="E5" s="4"/>
      <c r="F5" s="4">
        <f>SUM(F6:F10)</f>
        <v>463800</v>
      </c>
      <c r="H5">
        <f t="shared" ref="H5:H10" si="1">F5</f>
        <v>463800</v>
      </c>
      <c r="I5">
        <f t="shared" ref="I5:I10" si="2">F5</f>
        <v>463800</v>
      </c>
      <c r="J5">
        <f>I5</f>
        <v>463800</v>
      </c>
      <c r="K5">
        <f>J5</f>
        <v>463800</v>
      </c>
      <c r="R5" t="s">
        <v>253</v>
      </c>
      <c r="S5" s="66">
        <f>H5/1000000/$S$1</f>
        <v>0.36519685039370076</v>
      </c>
      <c r="T5" s="66">
        <f t="shared" ref="T5:V5" si="3">I5/1000000/$S$1</f>
        <v>0.36519685039370076</v>
      </c>
      <c r="U5" s="66">
        <f>J5/1000000/$S$1</f>
        <v>0.36519685039370076</v>
      </c>
      <c r="V5" s="66">
        <f t="shared" si="3"/>
        <v>0.36519685039370076</v>
      </c>
    </row>
    <row r="6" spans="1:22" x14ac:dyDescent="0.25">
      <c r="A6" s="4"/>
      <c r="B6" s="4" t="s">
        <v>29</v>
      </c>
      <c r="C6" s="4"/>
      <c r="D6" s="4">
        <v>35</v>
      </c>
      <c r="E6" s="4" t="s">
        <v>30</v>
      </c>
      <c r="F6" s="4">
        <f>D6*C3</f>
        <v>280000</v>
      </c>
      <c r="G6" t="s">
        <v>31</v>
      </c>
      <c r="H6">
        <f t="shared" si="1"/>
        <v>280000</v>
      </c>
      <c r="I6">
        <f t="shared" si="2"/>
        <v>280000</v>
      </c>
      <c r="J6">
        <f t="shared" ref="J6:K10" si="4">I6</f>
        <v>280000</v>
      </c>
      <c r="K6">
        <f t="shared" si="4"/>
        <v>280000</v>
      </c>
      <c r="R6" t="s">
        <v>254</v>
      </c>
      <c r="S6" s="66">
        <f>H11/1000000/$S$1</f>
        <v>10.209556282034882</v>
      </c>
      <c r="T6" s="66">
        <f t="shared" ref="T6:V6" si="5">I11/1000000/$S$1</f>
        <v>11.433500554694447</v>
      </c>
      <c r="U6" s="66">
        <f t="shared" si="5"/>
        <v>11.433500554694447</v>
      </c>
      <c r="V6" s="66">
        <f t="shared" si="5"/>
        <v>12.105748701227141</v>
      </c>
    </row>
    <row r="7" spans="1:22" x14ac:dyDescent="0.25">
      <c r="A7" s="4"/>
      <c r="B7" s="4" t="s">
        <v>32</v>
      </c>
      <c r="C7" s="4"/>
      <c r="D7" s="4">
        <v>15</v>
      </c>
      <c r="E7" s="4" t="s">
        <v>33</v>
      </c>
      <c r="F7" s="4">
        <f>D7*$F$6/100</f>
        <v>42000</v>
      </c>
      <c r="G7" t="s">
        <v>31</v>
      </c>
      <c r="H7">
        <f t="shared" si="1"/>
        <v>42000</v>
      </c>
      <c r="I7">
        <f t="shared" si="2"/>
        <v>42000</v>
      </c>
      <c r="J7">
        <f t="shared" si="4"/>
        <v>42000</v>
      </c>
      <c r="K7">
        <f t="shared" si="4"/>
        <v>42000</v>
      </c>
      <c r="R7" t="s">
        <v>255</v>
      </c>
      <c r="S7" s="66">
        <f>H19/1000000/$S$1</f>
        <v>1.3229050654852876</v>
      </c>
      <c r="T7" s="66">
        <f t="shared" ref="T7:V7" si="6">I19/1000000/$S$1</f>
        <v>1.4745677253583209</v>
      </c>
      <c r="U7" s="66">
        <f t="shared" si="6"/>
        <v>1.4745677253583209</v>
      </c>
      <c r="V7" s="66">
        <f t="shared" si="6"/>
        <v>1.5578680391678066</v>
      </c>
    </row>
    <row r="8" spans="1:22" x14ac:dyDescent="0.25">
      <c r="A8" s="4"/>
      <c r="B8" s="4" t="s">
        <v>34</v>
      </c>
      <c r="C8" s="4"/>
      <c r="D8" s="4">
        <v>6</v>
      </c>
      <c r="E8" s="4" t="s">
        <v>33</v>
      </c>
      <c r="F8" s="4">
        <f>D8*$F$6/100</f>
        <v>16800</v>
      </c>
      <c r="G8" t="s">
        <v>31</v>
      </c>
      <c r="H8">
        <f t="shared" si="1"/>
        <v>16800</v>
      </c>
      <c r="I8">
        <f t="shared" si="2"/>
        <v>16800</v>
      </c>
      <c r="J8">
        <f t="shared" si="4"/>
        <v>16800</v>
      </c>
      <c r="K8">
        <f t="shared" si="4"/>
        <v>16800</v>
      </c>
      <c r="R8" t="s">
        <v>256</v>
      </c>
      <c r="S8" s="66">
        <f>H24/1000000/$S$1</f>
        <v>1.9728611173014263</v>
      </c>
      <c r="T8" s="66">
        <f t="shared" ref="T8:V8" si="7">I24/1000000/$S$1</f>
        <v>2.2093720878636613</v>
      </c>
      <c r="U8" s="66">
        <f t="shared" si="7"/>
        <v>2.2093720878636613</v>
      </c>
      <c r="V8" s="66">
        <f t="shared" si="7"/>
        <v>2.3392751113482393</v>
      </c>
    </row>
    <row r="9" spans="1:22" x14ac:dyDescent="0.25">
      <c r="A9" s="4"/>
      <c r="B9" s="4" t="s">
        <v>35</v>
      </c>
      <c r="C9" s="4"/>
      <c r="D9" s="4"/>
      <c r="E9" s="4"/>
      <c r="F9" s="4">
        <v>60000</v>
      </c>
      <c r="G9" t="s">
        <v>31</v>
      </c>
      <c r="H9">
        <f t="shared" si="1"/>
        <v>60000</v>
      </c>
      <c r="I9">
        <f t="shared" si="2"/>
        <v>60000</v>
      </c>
      <c r="J9">
        <f t="shared" si="4"/>
        <v>60000</v>
      </c>
      <c r="K9">
        <f t="shared" si="4"/>
        <v>60000</v>
      </c>
      <c r="R9" t="s">
        <v>54</v>
      </c>
      <c r="S9" s="66">
        <f>H26/1000000/$S$1</f>
        <v>7.8914444692057053</v>
      </c>
      <c r="T9" s="66">
        <f t="shared" ref="T9:V9" si="8">I26/1000000/$S$1</f>
        <v>8.8374883514546454</v>
      </c>
      <c r="U9" s="66">
        <f t="shared" si="8"/>
        <v>8.8374883514546454</v>
      </c>
      <c r="V9" s="66">
        <f t="shared" si="8"/>
        <v>9.3571004453929572</v>
      </c>
    </row>
    <row r="10" spans="1:22" x14ac:dyDescent="0.25">
      <c r="A10" s="4"/>
      <c r="B10" s="4" t="s">
        <v>36</v>
      </c>
      <c r="C10" s="4"/>
      <c r="D10" s="4"/>
      <c r="E10" s="4"/>
      <c r="F10" s="4">
        <v>65000</v>
      </c>
      <c r="G10" t="s">
        <v>31</v>
      </c>
      <c r="H10">
        <f t="shared" si="1"/>
        <v>65000</v>
      </c>
      <c r="I10">
        <f t="shared" si="2"/>
        <v>65000</v>
      </c>
      <c r="J10">
        <f t="shared" si="4"/>
        <v>65000</v>
      </c>
      <c r="K10">
        <f t="shared" si="4"/>
        <v>65000</v>
      </c>
      <c r="R10" t="s">
        <v>63</v>
      </c>
      <c r="S10" s="66">
        <f>H37/1000000</f>
        <v>5.7834299165557903</v>
      </c>
      <c r="T10" s="66">
        <f>I37/1000000</f>
        <v>8.2301788383665251</v>
      </c>
      <c r="U10" s="66">
        <f>J37/1000000</f>
        <v>8.2301788383665251</v>
      </c>
      <c r="V10" s="66">
        <f>K37/1000000</f>
        <v>8.4312517985467252</v>
      </c>
    </row>
    <row r="11" spans="1:22" x14ac:dyDescent="0.25">
      <c r="A11" s="4" t="s">
        <v>37</v>
      </c>
      <c r="B11" s="4"/>
      <c r="C11" s="4"/>
      <c r="D11" s="4"/>
      <c r="E11" s="4"/>
      <c r="F11" s="4"/>
      <c r="H11">
        <f>H12+H16+H17+H18</f>
        <v>12966136.4781843</v>
      </c>
      <c r="I11">
        <f>I12+I16+I17+I18</f>
        <v>14520545.704461949</v>
      </c>
      <c r="J11">
        <f>J12+J16+J17+J18</f>
        <v>14520545.704461949</v>
      </c>
      <c r="K11">
        <f>K12+K16+K17+K18</f>
        <v>15374300.850558469</v>
      </c>
    </row>
    <row r="12" spans="1:22" x14ac:dyDescent="0.25">
      <c r="A12" s="4"/>
      <c r="B12" s="4" t="s">
        <v>38</v>
      </c>
      <c r="C12" s="4"/>
      <c r="D12" s="4">
        <f>SUM(D13:D15)</f>
        <v>13</v>
      </c>
      <c r="E12" s="4" t="s">
        <v>39</v>
      </c>
      <c r="F12" s="4"/>
      <c r="H12">
        <f>SUM(H13:H15)</f>
        <v>5637450.6426888257</v>
      </c>
      <c r="I12">
        <f>SUM(I13:I15)</f>
        <v>6313280.741070413</v>
      </c>
      <c r="J12">
        <f>SUM(J13:J15)</f>
        <v>6313280.741070413</v>
      </c>
      <c r="K12">
        <f>SUM(K13:K15)</f>
        <v>6684478.6306775948</v>
      </c>
    </row>
    <row r="13" spans="1:22" x14ac:dyDescent="0.25">
      <c r="A13" s="4"/>
      <c r="B13" s="4"/>
      <c r="C13" s="4" t="s">
        <v>40</v>
      </c>
      <c r="D13" s="4">
        <v>3.5</v>
      </c>
      <c r="E13" s="4" t="s">
        <v>39</v>
      </c>
      <c r="F13" s="4"/>
    </row>
    <row r="14" spans="1:22" x14ac:dyDescent="0.25">
      <c r="A14" s="4"/>
      <c r="B14" s="4"/>
      <c r="C14" s="4" t="s">
        <v>41</v>
      </c>
      <c r="D14" s="4">
        <v>4.5</v>
      </c>
      <c r="E14" s="4" t="s">
        <v>39</v>
      </c>
      <c r="F14" s="4"/>
      <c r="H14">
        <f>$D14*FCI!C$32/100*1000000</f>
        <v>5637450.6426888257</v>
      </c>
      <c r="I14">
        <f>$D14*FCI!D$32/100*1000000</f>
        <v>6313280.741070413</v>
      </c>
      <c r="J14">
        <f>$D14*FCI!E$32/100*1000000</f>
        <v>6313280.741070413</v>
      </c>
      <c r="K14">
        <f>$D14*FCI!F$32/100*1000000</f>
        <v>6684478.6306775948</v>
      </c>
    </row>
    <row r="15" spans="1:22" x14ac:dyDescent="0.25">
      <c r="A15" s="4"/>
      <c r="B15" s="4"/>
      <c r="C15" s="4" t="s">
        <v>42</v>
      </c>
      <c r="D15" s="4">
        <v>5</v>
      </c>
      <c r="E15" s="4" t="s">
        <v>39</v>
      </c>
      <c r="F15" s="4"/>
    </row>
    <row r="16" spans="1:22" x14ac:dyDescent="0.25">
      <c r="A16" s="4"/>
      <c r="B16" s="4" t="s">
        <v>43</v>
      </c>
      <c r="C16" s="4"/>
      <c r="D16" s="5">
        <v>25</v>
      </c>
      <c r="E16" s="5" t="s">
        <v>44</v>
      </c>
      <c r="F16" s="4"/>
      <c r="H16">
        <f>D16/100*$H$12</f>
        <v>1409362.6606722064</v>
      </c>
      <c r="I16">
        <f>D16/100*$I$12</f>
        <v>1578320.1852676033</v>
      </c>
      <c r="J16">
        <f>D16/100*$J$12</f>
        <v>1578320.1852676033</v>
      </c>
      <c r="K16">
        <f>D16/100*$K$12</f>
        <v>1671119.6576693987</v>
      </c>
    </row>
    <row r="17" spans="1:11" x14ac:dyDescent="0.25">
      <c r="A17" s="4"/>
      <c r="B17" s="4" t="s">
        <v>45</v>
      </c>
      <c r="C17" s="4"/>
      <c r="D17" s="5">
        <v>100</v>
      </c>
      <c r="E17" s="5" t="s">
        <v>44</v>
      </c>
      <c r="F17" s="4"/>
      <c r="H17">
        <f>D17/100*$H$12</f>
        <v>5637450.6426888257</v>
      </c>
      <c r="I17">
        <f>D17/100*$I$12</f>
        <v>6313280.741070413</v>
      </c>
      <c r="J17">
        <f>D17/100*$J$12</f>
        <v>6313280.741070413</v>
      </c>
      <c r="K17">
        <f>D17/100*$K$12</f>
        <v>6684478.6306775948</v>
      </c>
    </row>
    <row r="18" spans="1:11" x14ac:dyDescent="0.25">
      <c r="A18" s="4"/>
      <c r="B18" s="4" t="s">
        <v>46</v>
      </c>
      <c r="C18" s="4"/>
      <c r="D18" s="5">
        <v>5</v>
      </c>
      <c r="E18" s="5" t="s">
        <v>44</v>
      </c>
      <c r="F18" s="4"/>
      <c r="H18">
        <f>D18/100*$H$12</f>
        <v>281872.53213444131</v>
      </c>
      <c r="I18">
        <f>D18/100*$I$12</f>
        <v>315664.03705352067</v>
      </c>
      <c r="J18">
        <f>D18/100*$J$12</f>
        <v>315664.03705352067</v>
      </c>
      <c r="K18">
        <f>D18/100*$K$12</f>
        <v>334223.93153387978</v>
      </c>
    </row>
    <row r="19" spans="1:11" x14ac:dyDescent="0.25">
      <c r="A19" s="4" t="s">
        <v>47</v>
      </c>
      <c r="B19" s="4"/>
      <c r="C19" s="4"/>
      <c r="D19" s="4">
        <f>SUM(D20:D23)</f>
        <v>22.8</v>
      </c>
      <c r="E19" s="4"/>
      <c r="F19" s="4"/>
      <c r="H19">
        <f>$D$19/100*(H6+H7+H12+H16)</f>
        <v>1680089.4331663153</v>
      </c>
      <c r="I19">
        <f>$D$19/100*(I6+I7+I12+I16)</f>
        <v>1872701.0112050676</v>
      </c>
      <c r="J19">
        <f>$D$19/100*(J6+J7+J12+J16)</f>
        <v>1872701.0112050676</v>
      </c>
      <c r="K19">
        <f>$D$19/100*(K6+K7+K12+K16)</f>
        <v>1978492.4097431144</v>
      </c>
    </row>
    <row r="20" spans="1:11" x14ac:dyDescent="0.25">
      <c r="A20" s="4"/>
      <c r="B20" s="4" t="s">
        <v>48</v>
      </c>
      <c r="C20" s="4"/>
      <c r="D20" s="5">
        <v>7.1</v>
      </c>
      <c r="E20" s="5" t="s">
        <v>49</v>
      </c>
      <c r="F20" s="4"/>
    </row>
    <row r="21" spans="1:11" x14ac:dyDescent="0.25">
      <c r="A21" s="4"/>
      <c r="B21" s="4" t="s">
        <v>50</v>
      </c>
      <c r="C21" s="4"/>
      <c r="D21" s="5">
        <v>2.4</v>
      </c>
      <c r="E21" s="5" t="s">
        <v>49</v>
      </c>
      <c r="F21" s="4"/>
    </row>
    <row r="22" spans="1:11" x14ac:dyDescent="0.25">
      <c r="A22" s="4"/>
      <c r="B22" s="4" t="s">
        <v>51</v>
      </c>
      <c r="C22" s="4"/>
      <c r="D22" s="5">
        <v>5.9</v>
      </c>
      <c r="E22" s="5" t="s">
        <v>49</v>
      </c>
      <c r="F22" s="4"/>
    </row>
    <row r="23" spans="1:11" x14ac:dyDescent="0.25">
      <c r="A23" s="4"/>
      <c r="B23" s="4" t="s">
        <v>52</v>
      </c>
      <c r="C23" s="4"/>
      <c r="D23" s="5">
        <v>7.4</v>
      </c>
      <c r="E23" s="5" t="s">
        <v>49</v>
      </c>
      <c r="F23" s="4"/>
    </row>
    <row r="24" spans="1:11" x14ac:dyDescent="0.25">
      <c r="A24" s="4" t="s">
        <v>53</v>
      </c>
      <c r="B24" s="4"/>
      <c r="C24" s="4"/>
      <c r="D24" s="5">
        <v>2</v>
      </c>
      <c r="E24" s="4" t="s">
        <v>39</v>
      </c>
      <c r="F24" s="4"/>
      <c r="H24">
        <f>$D$24/100*FCI!C$32*1000000</f>
        <v>2505533.6189728114</v>
      </c>
      <c r="I24">
        <f>$D$24/100*FCI!D$32*1000000</f>
        <v>2805902.5515868501</v>
      </c>
      <c r="J24">
        <f>$D$24/100*FCI!E$32*1000000</f>
        <v>2805902.5515868501</v>
      </c>
      <c r="K24">
        <f>$D$24/100*FCI!F$32*1000000</f>
        <v>2970879.3914122642</v>
      </c>
    </row>
    <row r="25" spans="1:11" ht="15.75" thickBot="1" x14ac:dyDescent="0.3">
      <c r="A25" s="4" t="s">
        <v>54</v>
      </c>
      <c r="B25" s="4"/>
      <c r="C25" s="4"/>
      <c r="D25" s="4"/>
      <c r="E25" s="4"/>
      <c r="F25" s="4"/>
    </row>
    <row r="26" spans="1:11" x14ac:dyDescent="0.25">
      <c r="A26" s="4"/>
      <c r="B26" s="4" t="s">
        <v>55</v>
      </c>
      <c r="C26" s="4"/>
      <c r="D26" s="43">
        <v>8</v>
      </c>
      <c r="E26" s="44" t="s">
        <v>56</v>
      </c>
      <c r="F26" s="45"/>
      <c r="G26" s="45"/>
      <c r="H26" s="45">
        <f>$D$26/100*FCI!C32*1000000</f>
        <v>10022134.475891246</v>
      </c>
      <c r="I26" s="45">
        <f>$D$26/100*FCI!D32*1000000</f>
        <v>11223610.2063474</v>
      </c>
      <c r="J26" s="45">
        <f>$D$26/100*FCI!E32*1000000</f>
        <v>11223610.2063474</v>
      </c>
      <c r="K26" s="45">
        <f>$D$26/100*FCI!F32*1000000</f>
        <v>11883517.565649057</v>
      </c>
    </row>
    <row r="27" spans="1:11" ht="15.75" thickBot="1" x14ac:dyDescent="0.3">
      <c r="A27" s="4"/>
      <c r="B27" s="4" t="s">
        <v>57</v>
      </c>
      <c r="C27" s="4"/>
      <c r="D27" s="46">
        <v>6</v>
      </c>
      <c r="E27" s="47" t="s">
        <v>58</v>
      </c>
      <c r="F27" s="48"/>
      <c r="G27" s="48"/>
      <c r="H27" s="48"/>
      <c r="I27" s="33"/>
    </row>
    <row r="28" spans="1:11" x14ac:dyDescent="0.25">
      <c r="A28" s="4"/>
      <c r="B28" s="4" t="s">
        <v>59</v>
      </c>
      <c r="C28" s="4"/>
      <c r="D28" s="4"/>
      <c r="E28" s="4"/>
      <c r="F28" s="4"/>
    </row>
    <row r="29" spans="1:11" x14ac:dyDescent="0.25">
      <c r="A29" s="4"/>
      <c r="B29" s="4" t="s">
        <v>60</v>
      </c>
      <c r="C29" s="4"/>
      <c r="D29" s="4"/>
      <c r="E29" s="4"/>
      <c r="F29" s="4"/>
    </row>
    <row r="30" spans="1:11" x14ac:dyDescent="0.25">
      <c r="A30" s="4" t="s">
        <v>61</v>
      </c>
      <c r="B30" s="4"/>
      <c r="C30" s="4"/>
      <c r="D30" s="4" t="s">
        <v>62</v>
      </c>
      <c r="E30" s="4"/>
      <c r="F30" s="4"/>
      <c r="H30" s="56">
        <f>H4+H5+H11+H19+H24+H26</f>
        <v>30909493.862952709</v>
      </c>
      <c r="I30" s="56">
        <f>I4+I5+I11+I19+I24+I26</f>
        <v>36617569.490339302</v>
      </c>
      <c r="J30" s="56">
        <f>J4+J5+J11+J19+J24+J26</f>
        <v>36617569.490339302</v>
      </c>
      <c r="K30" s="56">
        <f>K4+K5+K11+K19+K24+K26</f>
        <v>38889251.482100941</v>
      </c>
    </row>
    <row r="31" spans="1:11" x14ac:dyDescent="0.25">
      <c r="A31" s="4" t="s">
        <v>63</v>
      </c>
      <c r="B31" s="4"/>
      <c r="C31" s="4"/>
      <c r="D31" s="4"/>
      <c r="E31" s="4"/>
      <c r="F31" s="4"/>
    </row>
    <row r="32" spans="1:11" x14ac:dyDescent="0.25">
      <c r="A32" s="4"/>
      <c r="B32" s="4" t="s">
        <v>64</v>
      </c>
      <c r="C32" s="4"/>
      <c r="D32" s="4">
        <v>3</v>
      </c>
      <c r="E32" s="4" t="s">
        <v>65</v>
      </c>
      <c r="F32" s="4"/>
    </row>
    <row r="33" spans="1:11" x14ac:dyDescent="0.25">
      <c r="A33" s="4"/>
      <c r="B33" s="4" t="s">
        <v>66</v>
      </c>
      <c r="C33" s="4"/>
      <c r="D33" s="4">
        <v>4.8</v>
      </c>
      <c r="E33" s="4" t="s">
        <v>65</v>
      </c>
      <c r="F33" s="4"/>
    </row>
    <row r="34" spans="1:11" x14ac:dyDescent="0.25">
      <c r="A34" s="4"/>
      <c r="B34" s="4" t="s">
        <v>67</v>
      </c>
      <c r="C34" s="4"/>
      <c r="D34" s="4">
        <v>0.5</v>
      </c>
      <c r="E34" s="4" t="s">
        <v>65</v>
      </c>
      <c r="F34" s="4"/>
    </row>
    <row r="35" spans="1:11" x14ac:dyDescent="0.25">
      <c r="A35" s="4"/>
      <c r="B35" s="4" t="s">
        <v>68</v>
      </c>
      <c r="C35" s="4"/>
      <c r="D35" s="5">
        <v>2</v>
      </c>
      <c r="E35" s="4" t="s">
        <v>65</v>
      </c>
      <c r="F35" s="4"/>
    </row>
    <row r="36" spans="1:11" x14ac:dyDescent="0.25">
      <c r="A36" s="4"/>
      <c r="B36" s="4" t="s">
        <v>69</v>
      </c>
      <c r="C36" s="4"/>
      <c r="D36" s="5">
        <v>1.25</v>
      </c>
      <c r="E36" s="4" t="s">
        <v>65</v>
      </c>
      <c r="F36" s="4"/>
    </row>
    <row r="37" spans="1:11" x14ac:dyDescent="0.25">
      <c r="A37" s="4" t="s">
        <v>70</v>
      </c>
      <c r="B37" s="4"/>
      <c r="C37" s="4"/>
      <c r="D37" s="4">
        <f>SUM(D32:D36)</f>
        <v>11.55</v>
      </c>
      <c r="E37" s="4"/>
      <c r="F37" s="4"/>
      <c r="H37">
        <f>D37/100*('COG utility'!I2*'COG utility'!I1/1000*'Maintenance &amp; Operations cost'!C3-'COG utility'!P21*'COG utility'!P22/100)</f>
        <v>5783429.9165557902</v>
      </c>
      <c r="I37">
        <f>D37/100*('NG utility'!I2*'NG utility'!I1/1000*'Maintenance &amp; Operations cost'!C3-'NG utility'!O2*'NG utility'!O3/100)</f>
        <v>8230178.8383665243</v>
      </c>
      <c r="J37">
        <f>D37/100*('BFG utility'!I2*'BFG utility'!I1/1000*'Maintenance &amp; Operations cost'!C3-'BFG utility'!O2*'BFG utility'!O3/100)</f>
        <v>8230178.8383665243</v>
      </c>
      <c r="K37">
        <f>D37/100*('NG utility with WGS'!I2*'NG utility with WGS'!I1/1000*'Maintenance &amp; Operations cost'!C3-'NG utility with WGS'!O2*'NG utility with WGS'!O3/100)</f>
        <v>8431251.7985467259</v>
      </c>
    </row>
    <row r="38" spans="1:11" x14ac:dyDescent="0.25">
      <c r="A38" s="4" t="s">
        <v>124</v>
      </c>
      <c r="B38" s="4"/>
      <c r="C38" s="4"/>
      <c r="D38" s="4" t="s">
        <v>71</v>
      </c>
      <c r="E38" s="4"/>
      <c r="F38" s="4"/>
      <c r="H38">
        <f>H30+H37</f>
        <v>36692923.779508501</v>
      </c>
      <c r="I38">
        <f>I30+I37</f>
        <v>44847748.328705825</v>
      </c>
      <c r="J38">
        <f>J30+J37</f>
        <v>44847748.328705825</v>
      </c>
      <c r="K38">
        <f>K30+K37</f>
        <v>47320503.280647665</v>
      </c>
    </row>
    <row r="39" spans="1:11" x14ac:dyDescent="0.25">
      <c r="A39" t="s">
        <v>123</v>
      </c>
      <c r="H39">
        <f>H38/1000000</f>
        <v>36.692923779508504</v>
      </c>
      <c r="I39">
        <f>I38/1000000</f>
        <v>44.847748328705826</v>
      </c>
      <c r="J39">
        <f>J38/1000000</f>
        <v>44.847748328705826</v>
      </c>
      <c r="K39">
        <f>K38/1000000</f>
        <v>47.320503280647664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V34"/>
  <sheetViews>
    <sheetView topLeftCell="K1" workbookViewId="0">
      <selection activeCell="E32" sqref="E32"/>
    </sheetView>
  </sheetViews>
  <sheetFormatPr defaultRowHeight="15" x14ac:dyDescent="0.25"/>
  <cols>
    <col min="2" max="2" width="46.28515625" bestFit="1" customWidth="1"/>
    <col min="3" max="3" width="32.7109375" bestFit="1" customWidth="1"/>
    <col min="4" max="4" width="43.85546875" bestFit="1" customWidth="1"/>
    <col min="5" max="5" width="71.28515625" bestFit="1" customWidth="1"/>
    <col min="6" max="6" width="16.140625" bestFit="1" customWidth="1"/>
    <col min="7" max="7" width="30.7109375" bestFit="1" customWidth="1"/>
    <col min="8" max="8" width="61.28515625" bestFit="1" customWidth="1"/>
    <col min="9" max="9" width="12.7109375" bestFit="1" customWidth="1"/>
    <col min="10" max="10" width="12" bestFit="1" customWidth="1"/>
    <col min="12" max="12" width="20.42578125" bestFit="1" customWidth="1"/>
    <col min="13" max="13" width="3" bestFit="1" customWidth="1"/>
    <col min="14" max="14" width="38.140625" bestFit="1" customWidth="1"/>
    <col min="15" max="15" width="12" bestFit="1" customWidth="1"/>
    <col min="17" max="17" width="27.140625" bestFit="1" customWidth="1"/>
    <col min="18" max="18" width="10" bestFit="1" customWidth="1"/>
    <col min="21" max="21" width="11.85546875" bestFit="1" customWidth="1"/>
    <col min="22" max="22" width="11.85546875" customWidth="1"/>
    <col min="24" max="24" width="13.5703125" bestFit="1" customWidth="1"/>
    <col min="25" max="25" width="12" bestFit="1" customWidth="1"/>
    <col min="27" max="27" width="27.140625" bestFit="1" customWidth="1"/>
  </cols>
  <sheetData>
    <row r="1" spans="2:22" x14ac:dyDescent="0.25">
      <c r="C1" t="s">
        <v>139</v>
      </c>
      <c r="D1" t="s">
        <v>146</v>
      </c>
      <c r="E1" t="s">
        <v>148</v>
      </c>
      <c r="F1" t="s">
        <v>21</v>
      </c>
      <c r="G1" t="s">
        <v>22</v>
      </c>
      <c r="H1" t="s">
        <v>18</v>
      </c>
      <c r="I1" s="2">
        <v>18155.2</v>
      </c>
      <c r="N1" t="s">
        <v>164</v>
      </c>
      <c r="O1" s="51">
        <v>16723.417594269999</v>
      </c>
    </row>
    <row r="2" spans="2:22" x14ac:dyDescent="0.25">
      <c r="B2" t="s">
        <v>218</v>
      </c>
      <c r="C2">
        <f>0.376*(21807100)^0.77*I29/I28</f>
        <v>179445.0695435665</v>
      </c>
      <c r="D2" s="34" t="s">
        <v>158</v>
      </c>
      <c r="E2" s="34" t="s">
        <v>149</v>
      </c>
      <c r="F2">
        <v>37.04</v>
      </c>
      <c r="G2">
        <v>1342.27</v>
      </c>
      <c r="H2" t="s">
        <v>122</v>
      </c>
      <c r="I2">
        <v>469</v>
      </c>
      <c r="N2" t="s">
        <v>165</v>
      </c>
      <c r="O2" s="52">
        <v>5.4352629788556204</v>
      </c>
    </row>
    <row r="3" spans="2:22" x14ac:dyDescent="0.25">
      <c r="B3" s="3" t="s">
        <v>17</v>
      </c>
      <c r="C3" s="34">
        <f>8880*5882.33^0.42*I30/I28</f>
        <v>387222.75045718777</v>
      </c>
      <c r="D3" s="34" t="s">
        <v>147</v>
      </c>
      <c r="E3" s="34" t="s">
        <v>149</v>
      </c>
      <c r="F3" s="34"/>
      <c r="G3" s="34"/>
      <c r="H3" t="s">
        <v>250</v>
      </c>
      <c r="I3" s="2">
        <f>0-O3</f>
        <v>-26645.319144183999</v>
      </c>
      <c r="N3" t="s">
        <v>171</v>
      </c>
      <c r="O3">
        <v>26645.319144183999</v>
      </c>
      <c r="Q3" t="s">
        <v>224</v>
      </c>
    </row>
    <row r="4" spans="2:22" x14ac:dyDescent="0.25">
      <c r="B4" t="s">
        <v>0</v>
      </c>
      <c r="C4" s="34">
        <v>2991000</v>
      </c>
      <c r="D4" s="50" t="s">
        <v>161</v>
      </c>
      <c r="E4" s="50" t="s">
        <v>156</v>
      </c>
      <c r="F4" s="34">
        <v>0</v>
      </c>
      <c r="G4" s="34">
        <v>4667.7700000000004</v>
      </c>
      <c r="H4" t="s">
        <v>134</v>
      </c>
      <c r="I4">
        <f>(I1/32-0.417*1155.26)*44</f>
        <v>3766.6895200000026</v>
      </c>
      <c r="Q4" t="s">
        <v>226</v>
      </c>
      <c r="R4">
        <v>5000</v>
      </c>
      <c r="S4" t="s">
        <v>189</v>
      </c>
    </row>
    <row r="5" spans="2:22" x14ac:dyDescent="0.25">
      <c r="B5" t="s">
        <v>1</v>
      </c>
      <c r="C5">
        <f>(32000+70*883.5^1.2)*I30/I29</f>
        <v>290521.36479872122</v>
      </c>
      <c r="D5" t="s">
        <v>151</v>
      </c>
      <c r="E5" s="34" t="s">
        <v>270</v>
      </c>
      <c r="F5" s="34"/>
      <c r="G5" s="34"/>
      <c r="H5" t="s">
        <v>135</v>
      </c>
      <c r="I5">
        <v>40.4</v>
      </c>
      <c r="N5" t="s">
        <v>179</v>
      </c>
      <c r="O5">
        <f>'BFG utility'!G4</f>
        <v>40260.699999999997</v>
      </c>
      <c r="Q5" t="s">
        <v>225</v>
      </c>
      <c r="R5">
        <v>300</v>
      </c>
      <c r="S5" t="s">
        <v>189</v>
      </c>
    </row>
    <row r="6" spans="2:22" x14ac:dyDescent="0.25">
      <c r="B6" t="s">
        <v>2</v>
      </c>
      <c r="C6" s="34">
        <f>(11600+34*(2177.24)^0.85)*I30/I29</f>
        <v>37328.162174420693</v>
      </c>
      <c r="D6" s="34" t="s">
        <v>152</v>
      </c>
      <c r="E6" s="34" t="s">
        <v>270</v>
      </c>
      <c r="F6" s="34"/>
      <c r="G6" s="34"/>
      <c r="H6" t="s">
        <v>251</v>
      </c>
      <c r="I6" s="35">
        <f>I3+G24-G21</f>
        <v>-26948.010619538221</v>
      </c>
      <c r="O6" t="s">
        <v>223</v>
      </c>
      <c r="Q6" t="s">
        <v>227</v>
      </c>
      <c r="R6">
        <v>20</v>
      </c>
      <c r="S6" t="s">
        <v>202</v>
      </c>
    </row>
    <row r="7" spans="2:22" x14ac:dyDescent="0.25">
      <c r="B7" t="s">
        <v>3</v>
      </c>
      <c r="C7">
        <f>(4*132000+70*(59.17+8.43+11+41.56)^1.2)*I30/I29</f>
        <v>586964.94156863156</v>
      </c>
      <c r="D7" t="s">
        <v>151</v>
      </c>
      <c r="E7" s="34" t="s">
        <v>271</v>
      </c>
      <c r="F7" s="34">
        <v>-44.04</v>
      </c>
      <c r="G7" s="34">
        <v>-1322.15</v>
      </c>
      <c r="H7" t="s">
        <v>23</v>
      </c>
      <c r="I7">
        <f>18/1.33</f>
        <v>13.533834586466165</v>
      </c>
      <c r="N7" t="s">
        <v>186</v>
      </c>
      <c r="O7">
        <v>3.5</v>
      </c>
      <c r="P7" t="s">
        <v>188</v>
      </c>
      <c r="Q7" t="s">
        <v>228</v>
      </c>
      <c r="R7">
        <v>50</v>
      </c>
      <c r="S7" t="s">
        <v>202</v>
      </c>
    </row>
    <row r="8" spans="2:22" x14ac:dyDescent="0.25">
      <c r="B8" s="3" t="s">
        <v>141</v>
      </c>
      <c r="C8" s="50">
        <f>(580000+20000*(12384.5/I31)^0.6)*I30/I29+(1400* ((12384.5-(18573.8-11970.5))/I31)^0.75)*I30/I28</f>
        <v>9395653.6582950503</v>
      </c>
      <c r="D8" s="34" t="s">
        <v>220</v>
      </c>
      <c r="E8" s="50" t="s">
        <v>272</v>
      </c>
      <c r="F8" s="34">
        <f>344.472+306.025+309.305</f>
        <v>959.80199999999991</v>
      </c>
      <c r="G8" s="34">
        <f>1541.91+1369.82+1384.5</f>
        <v>4296.2299999999996</v>
      </c>
      <c r="H8" t="s">
        <v>162</v>
      </c>
      <c r="I8">
        <f>(36*O2*32/78.1/1000*22)*I30/I27</f>
        <v>2.9291640792793538</v>
      </c>
      <c r="N8" t="s">
        <v>187</v>
      </c>
      <c r="O8">
        <v>830</v>
      </c>
      <c r="P8" t="s">
        <v>189</v>
      </c>
    </row>
    <row r="9" spans="2:22" x14ac:dyDescent="0.25">
      <c r="B9" t="s">
        <v>5</v>
      </c>
      <c r="C9" s="34">
        <f>(8000+240*(11.07/I32)^0.9)*I30/I29</f>
        <v>11040.570690208857</v>
      </c>
      <c r="D9" s="34" t="s">
        <v>154</v>
      </c>
      <c r="E9" s="34" t="s">
        <v>270</v>
      </c>
      <c r="F9" s="34">
        <v>3.22</v>
      </c>
      <c r="G9" s="34">
        <v>14.42</v>
      </c>
      <c r="H9" t="s">
        <v>163</v>
      </c>
      <c r="I9">
        <f>(306*O2*32/1000)*I30/I27</f>
        <v>88.387526092254504</v>
      </c>
      <c r="N9" t="s">
        <v>239</v>
      </c>
      <c r="O9" s="58">
        <v>112841664.568509</v>
      </c>
      <c r="P9" t="s">
        <v>191</v>
      </c>
      <c r="Q9" s="58">
        <v>112841664.568509</v>
      </c>
      <c r="R9" t="s">
        <v>191</v>
      </c>
    </row>
    <row r="10" spans="2:22" x14ac:dyDescent="0.25">
      <c r="B10" t="s">
        <v>7</v>
      </c>
      <c r="C10">
        <f>(32000+70*49.83^1.2)*I30/I29</f>
        <v>42291.564814912905</v>
      </c>
      <c r="D10" t="s">
        <v>151</v>
      </c>
      <c r="E10" s="34" t="s">
        <v>270</v>
      </c>
      <c r="F10" s="34"/>
      <c r="G10" s="34"/>
      <c r="H10" t="s">
        <v>204</v>
      </c>
      <c r="J10" t="s">
        <v>223</v>
      </c>
      <c r="K10" s="4"/>
      <c r="L10" t="s">
        <v>224</v>
      </c>
      <c r="N10" t="s">
        <v>193</v>
      </c>
      <c r="O10">
        <v>0.75</v>
      </c>
      <c r="P10" t="s">
        <v>194</v>
      </c>
      <c r="Q10">
        <f>43.91/1000*60/0.3</f>
        <v>8.782</v>
      </c>
      <c r="R10" t="s">
        <v>194</v>
      </c>
    </row>
    <row r="11" spans="2:22" x14ac:dyDescent="0.25">
      <c r="B11" t="s">
        <v>6</v>
      </c>
      <c r="C11">
        <f>(32000+70*38.48^1.2)*I30/I29</f>
        <v>40121.899012281079</v>
      </c>
      <c r="D11" t="s">
        <v>151</v>
      </c>
      <c r="E11" s="34" t="s">
        <v>270</v>
      </c>
      <c r="F11" s="34"/>
      <c r="G11" s="34"/>
      <c r="H11" t="s">
        <v>244</v>
      </c>
      <c r="I11" s="62">
        <f>(L11/1000*(R4+R5)+L11*(0.8*R6+0.2*R7))/1000000</f>
        <v>0.40217992495950033</v>
      </c>
      <c r="J11" s="56">
        <f>O9/O10/1000*I18/S18</f>
        <v>300911.10551602399</v>
      </c>
      <c r="K11" s="4" t="s">
        <v>240</v>
      </c>
      <c r="L11" s="56">
        <f>Q9/Q10/1000</f>
        <v>12849.198880495216</v>
      </c>
      <c r="M11" t="s">
        <v>190</v>
      </c>
      <c r="N11" s="55" t="s">
        <v>195</v>
      </c>
      <c r="O11" s="3">
        <v>242.84</v>
      </c>
      <c r="P11" t="s">
        <v>196</v>
      </c>
      <c r="Q11" t="s">
        <v>197</v>
      </c>
      <c r="S11" t="s">
        <v>203</v>
      </c>
    </row>
    <row r="12" spans="2:22" x14ac:dyDescent="0.25">
      <c r="B12" t="s">
        <v>8</v>
      </c>
      <c r="C12" s="34">
        <v>1842100</v>
      </c>
      <c r="D12" s="34" t="s">
        <v>155</v>
      </c>
      <c r="E12" s="50" t="s">
        <v>156</v>
      </c>
      <c r="F12" s="34">
        <f>-0.00000249*56935600</f>
        <v>-141.769644</v>
      </c>
      <c r="G12" s="34">
        <f>F12*G7/F7</f>
        <v>-4256.1474753542234</v>
      </c>
      <c r="H12" t="s">
        <v>245</v>
      </c>
      <c r="I12" s="54">
        <f>J12/1000000</f>
        <v>1.1559786280336135</v>
      </c>
      <c r="J12" s="57">
        <f>O16*U18</f>
        <v>1155978.6280336136</v>
      </c>
      <c r="K12" s="4" t="s">
        <v>31</v>
      </c>
      <c r="N12" t="s">
        <v>198</v>
      </c>
      <c r="O12">
        <f>O11*0.55</f>
        <v>133.56200000000001</v>
      </c>
      <c r="P12" t="s">
        <v>196</v>
      </c>
      <c r="Q12">
        <v>9600</v>
      </c>
      <c r="R12" t="s">
        <v>189</v>
      </c>
      <c r="S12">
        <f>Q12*O12</f>
        <v>1282195.2000000002</v>
      </c>
    </row>
    <row r="13" spans="2:22" x14ac:dyDescent="0.25">
      <c r="B13" t="s">
        <v>9</v>
      </c>
      <c r="C13">
        <f>(6*32000+70*(97.65+10.37+8.23+105.01+14.32+376.33)^1.2)*I30/I29</f>
        <v>369916.66283140896</v>
      </c>
      <c r="D13" t="s">
        <v>151</v>
      </c>
      <c r="E13" s="34" t="s">
        <v>271</v>
      </c>
      <c r="F13" s="34">
        <v>-144.49</v>
      </c>
      <c r="G13" s="34">
        <v>-4338.16</v>
      </c>
      <c r="H13" t="s">
        <v>246</v>
      </c>
      <c r="I13" s="54">
        <f>(O12*Q12+O13*Q13+O14*Q14+O15*Q15*1000)/1000000</f>
        <v>3.89806768</v>
      </c>
      <c r="J13">
        <f>O11</f>
        <v>242.84</v>
      </c>
      <c r="K13" s="4" t="s">
        <v>241</v>
      </c>
      <c r="N13" t="s">
        <v>199</v>
      </c>
      <c r="O13">
        <f>O11*0.36</f>
        <v>87.422399999999996</v>
      </c>
      <c r="P13" t="s">
        <v>196</v>
      </c>
      <c r="Q13">
        <v>300</v>
      </c>
      <c r="R13" t="s">
        <v>189</v>
      </c>
      <c r="S13">
        <f>Q13*O13</f>
        <v>26226.719999999998</v>
      </c>
    </row>
    <row r="14" spans="2:22" x14ac:dyDescent="0.25">
      <c r="B14" t="s">
        <v>10</v>
      </c>
      <c r="C14" s="50">
        <f>(11600+34*(4717.36)^0.85)*I30/I29</f>
        <v>60513.797260931984</v>
      </c>
      <c r="D14" s="34" t="s">
        <v>152</v>
      </c>
      <c r="E14" s="34" t="s">
        <v>270</v>
      </c>
      <c r="F14" s="34"/>
      <c r="G14" s="34"/>
      <c r="H14" t="s">
        <v>131</v>
      </c>
      <c r="I14" s="34">
        <f>FCI!C44</f>
        <v>142.81541628145024</v>
      </c>
      <c r="N14" t="s">
        <v>200</v>
      </c>
      <c r="O14">
        <f>O11*0.8</f>
        <v>194.27200000000002</v>
      </c>
      <c r="P14" t="s">
        <v>196</v>
      </c>
      <c r="Q14">
        <v>830</v>
      </c>
      <c r="R14" t="s">
        <v>189</v>
      </c>
      <c r="S14">
        <f>Q14*O14</f>
        <v>161245.76000000001</v>
      </c>
    </row>
    <row r="15" spans="2:22" ht="15.75" thickBot="1" x14ac:dyDescent="0.3">
      <c r="B15" s="3" t="s">
        <v>142</v>
      </c>
      <c r="C15" s="34">
        <f>(580000+20000*(267.855/I31)^0.6-1100+2100*(267.855/I31)^0.6)*I30/I29</f>
        <v>1440229.5812534282</v>
      </c>
      <c r="D15" s="34" t="s">
        <v>234</v>
      </c>
      <c r="E15" s="34" t="s">
        <v>270</v>
      </c>
      <c r="F15" s="34">
        <v>10.324999999999999</v>
      </c>
      <c r="G15" s="34">
        <v>46.22</v>
      </c>
      <c r="H15" t="s">
        <v>125</v>
      </c>
      <c r="I15" s="34">
        <v>30</v>
      </c>
      <c r="N15" t="s">
        <v>201</v>
      </c>
      <c r="O15">
        <f>O11*0.1</f>
        <v>24.284000000000002</v>
      </c>
      <c r="P15" t="s">
        <v>196</v>
      </c>
      <c r="Q15">
        <v>100</v>
      </c>
      <c r="R15" t="s">
        <v>202</v>
      </c>
      <c r="S15">
        <f>Q15*O15*1000</f>
        <v>2428400</v>
      </c>
    </row>
    <row r="16" spans="2:22" x14ac:dyDescent="0.25">
      <c r="B16" s="1" t="s">
        <v>12</v>
      </c>
      <c r="C16" s="34">
        <f>(11600+34*(4717.36)^0.85)*I30/I29</f>
        <v>60513.797260931984</v>
      </c>
      <c r="D16" s="34" t="s">
        <v>152</v>
      </c>
      <c r="E16" s="50" t="s">
        <v>273</v>
      </c>
      <c r="F16" s="34"/>
      <c r="G16" s="34"/>
      <c r="H16" t="s">
        <v>126</v>
      </c>
      <c r="I16">
        <v>0.15</v>
      </c>
      <c r="N16" s="28" t="s">
        <v>207</v>
      </c>
      <c r="O16" s="45">
        <v>1000</v>
      </c>
      <c r="P16" s="45" t="s">
        <v>189</v>
      </c>
      <c r="Q16" s="45">
        <v>5.24</v>
      </c>
      <c r="R16" s="45" t="s">
        <v>214</v>
      </c>
      <c r="S16" s="45" t="s">
        <v>215</v>
      </c>
      <c r="T16" s="45"/>
      <c r="U16" s="45">
        <v>0.1</v>
      </c>
      <c r="V16" s="29" t="s">
        <v>213</v>
      </c>
    </row>
    <row r="17" spans="2:22" x14ac:dyDescent="0.25">
      <c r="B17" s="1" t="s">
        <v>13</v>
      </c>
      <c r="C17" s="34">
        <f>42700+16500+35500+6400+126600</f>
        <v>227700</v>
      </c>
      <c r="D17" s="34" t="s">
        <v>157</v>
      </c>
      <c r="E17" s="34" t="s">
        <v>156</v>
      </c>
      <c r="F17" s="34">
        <f>102.144+61.5801</f>
        <v>163.72410000000002</v>
      </c>
      <c r="G17" s="34">
        <v>1840.49</v>
      </c>
      <c r="H17" t="s">
        <v>127</v>
      </c>
      <c r="I17">
        <f>(1-(1+I16)^-I15)/I16</f>
        <v>6.5659796367074357</v>
      </c>
      <c r="N17" s="30" t="s">
        <v>208</v>
      </c>
      <c r="O17" s="4">
        <v>158.4</v>
      </c>
      <c r="P17" s="4" t="s">
        <v>209</v>
      </c>
      <c r="Q17" s="4">
        <f>S17*U17</f>
        <v>7140000</v>
      </c>
      <c r="R17" s="4" t="s">
        <v>222</v>
      </c>
      <c r="S17" s="4">
        <v>28000</v>
      </c>
      <c r="T17" s="4" t="s">
        <v>221</v>
      </c>
      <c r="U17" s="4">
        <v>255</v>
      </c>
      <c r="V17" s="31" t="s">
        <v>210</v>
      </c>
    </row>
    <row r="18" spans="2:22" ht="15.75" thickBot="1" x14ac:dyDescent="0.3">
      <c r="B18" s="3" t="s">
        <v>16</v>
      </c>
      <c r="C18" s="34">
        <f>0.367*4366890^0.77*I30/I28</f>
        <v>54192.084514784554</v>
      </c>
      <c r="D18" s="34" t="s">
        <v>158</v>
      </c>
      <c r="E18" s="34" t="s">
        <v>149</v>
      </c>
      <c r="F18" s="34">
        <v>-11.47</v>
      </c>
      <c r="G18" s="34">
        <v>-302.94400000000002</v>
      </c>
      <c r="H18" t="s">
        <v>128</v>
      </c>
      <c r="I18">
        <v>8000</v>
      </c>
      <c r="N18" s="32" t="s">
        <v>212</v>
      </c>
      <c r="O18" s="48">
        <f>O17*Q18/Q17</f>
        <v>245.11845378151261</v>
      </c>
      <c r="P18" s="48" t="s">
        <v>209</v>
      </c>
      <c r="Q18" s="59">
        <v>11048900</v>
      </c>
      <c r="R18" s="48" t="s">
        <v>222</v>
      </c>
      <c r="S18" s="48">
        <v>4000</v>
      </c>
      <c r="T18" s="48" t="s">
        <v>211</v>
      </c>
      <c r="U18" s="48">
        <f>O18*Q16*(1-U16)</f>
        <v>1155.9786280336136</v>
      </c>
      <c r="V18" s="33" t="s">
        <v>247</v>
      </c>
    </row>
    <row r="19" spans="2:22" ht="15.75" thickBot="1" x14ac:dyDescent="0.3">
      <c r="B19" s="3" t="s">
        <v>143</v>
      </c>
      <c r="C19" s="34">
        <f>(580000+20000*(11970/I31)^0.6)*I30/I29</f>
        <v>7893534.5940930471</v>
      </c>
      <c r="D19" s="34" t="s">
        <v>153</v>
      </c>
      <c r="E19" s="34" t="s">
        <v>270</v>
      </c>
      <c r="F19" s="34">
        <f>294.047+315.904+317.765</f>
        <v>927.71600000000001</v>
      </c>
      <c r="G19" s="34">
        <f>1316.2+1414.04+1422.37</f>
        <v>4152.6099999999997</v>
      </c>
      <c r="I19" s="56"/>
    </row>
    <row r="20" spans="2:22" x14ac:dyDescent="0.25">
      <c r="B20" t="s">
        <v>15</v>
      </c>
      <c r="C20" s="34">
        <v>9468600</v>
      </c>
      <c r="D20" s="34" t="s">
        <v>159</v>
      </c>
      <c r="E20" s="34" t="s">
        <v>156</v>
      </c>
      <c r="F20" s="34">
        <v>-1439.47</v>
      </c>
      <c r="G20" s="34">
        <v>-6443.3</v>
      </c>
      <c r="H20" t="s">
        <v>205</v>
      </c>
      <c r="I20">
        <f>'Maintenance &amp; Operations cost'!H39</f>
        <v>36.692923779508504</v>
      </c>
      <c r="N20" s="28" t="s">
        <v>136</v>
      </c>
      <c r="O20" s="45"/>
      <c r="P20" s="29"/>
    </row>
    <row r="21" spans="2:22" x14ac:dyDescent="0.25">
      <c r="B21" t="s">
        <v>181</v>
      </c>
      <c r="F21">
        <v>0</v>
      </c>
      <c r="G21">
        <f>'BFG utility'!G4</f>
        <v>40260.699999999997</v>
      </c>
      <c r="H21" t="s">
        <v>206</v>
      </c>
      <c r="I21">
        <f>(I2*I1/1000*I18+I7*(-I6)*I18/1000-P22*P21/100)/1000000</f>
        <v>52.990665635799637</v>
      </c>
      <c r="N21" s="30"/>
      <c r="O21" s="4" t="s">
        <v>137</v>
      </c>
      <c r="P21" s="31">
        <f>11.2/I34</f>
        <v>8.4210526315789469</v>
      </c>
    </row>
    <row r="22" spans="2:22" ht="15.75" thickBot="1" x14ac:dyDescent="0.3">
      <c r="B22" t="s">
        <v>248</v>
      </c>
      <c r="C22" s="56">
        <f>I11+I12+I13</f>
        <v>5.4562262329931137</v>
      </c>
      <c r="H22" t="s">
        <v>132</v>
      </c>
      <c r="I22" s="49">
        <f>I17*(I21-I20)-I14</f>
        <v>-35.804775128728224</v>
      </c>
      <c r="N22" s="32"/>
      <c r="O22" s="48" t="s">
        <v>138</v>
      </c>
      <c r="P22" s="33">
        <v>214288223.80000001</v>
      </c>
    </row>
    <row r="23" spans="2:22" x14ac:dyDescent="0.25">
      <c r="B23" t="s">
        <v>249</v>
      </c>
      <c r="C23">
        <f>I8+I5*I4/1000/1000000</f>
        <v>2.929316253535962</v>
      </c>
      <c r="H23" t="s">
        <v>133</v>
      </c>
      <c r="I23" s="49">
        <f>I14/(I21-I20)</f>
        <v>8.7628959607260999</v>
      </c>
    </row>
    <row r="24" spans="2:22" x14ac:dyDescent="0.25">
      <c r="B24" t="s">
        <v>19</v>
      </c>
      <c r="C24" s="35">
        <f>SUM(C2:C23)/1000000</f>
        <v>35.378898884111997</v>
      </c>
      <c r="D24" s="35"/>
      <c r="E24" s="35"/>
      <c r="F24" s="35">
        <f>SUM(F2:F21)+I9</f>
        <v>408.97498209225449</v>
      </c>
      <c r="G24" s="35">
        <f>SUM(G2:G21)</f>
        <v>39958.008524645775</v>
      </c>
      <c r="H24" t="s">
        <v>173</v>
      </c>
      <c r="I24" s="49">
        <f>(I2*I1/1000*I18-P22*P21/100)/1000000</f>
        <v>50.072986290526323</v>
      </c>
    </row>
    <row r="25" spans="2:22" ht="15.75" thickBot="1" x14ac:dyDescent="0.3">
      <c r="H25" t="s">
        <v>172</v>
      </c>
      <c r="I25" s="49">
        <f>(0-I22*1000000)/(I15*I18*(-I6)/1000)</f>
        <v>5.5360881789248779</v>
      </c>
    </row>
    <row r="26" spans="2:22" x14ac:dyDescent="0.25">
      <c r="H26" s="28" t="s">
        <v>91</v>
      </c>
      <c r="I26" s="29"/>
    </row>
    <row r="27" spans="2:22" x14ac:dyDescent="0.25">
      <c r="H27" s="30">
        <v>1988</v>
      </c>
      <c r="I27" s="31">
        <v>342.5</v>
      </c>
    </row>
    <row r="28" spans="2:22" x14ac:dyDescent="0.25">
      <c r="H28" s="30">
        <v>2006</v>
      </c>
      <c r="I28" s="31">
        <v>499.6</v>
      </c>
    </row>
    <row r="29" spans="2:22" x14ac:dyDescent="0.25">
      <c r="H29" s="30">
        <v>2010</v>
      </c>
      <c r="I29" s="31">
        <v>532.9</v>
      </c>
      <c r="V29" s="4"/>
    </row>
    <row r="30" spans="2:22" ht="15.75" thickBot="1" x14ac:dyDescent="0.3">
      <c r="H30" s="32">
        <v>2016</v>
      </c>
      <c r="I30" s="33">
        <v>568.79999999999995</v>
      </c>
      <c r="V30" s="4"/>
    </row>
    <row r="31" spans="2:22" x14ac:dyDescent="0.25">
      <c r="H31" s="5" t="s">
        <v>145</v>
      </c>
      <c r="I31">
        <v>0.72</v>
      </c>
      <c r="V31" s="4"/>
    </row>
    <row r="32" spans="2:22" x14ac:dyDescent="0.25">
      <c r="H32" s="5" t="s">
        <v>144</v>
      </c>
      <c r="I32">
        <v>0.88</v>
      </c>
    </row>
    <row r="33" spans="8:9" x14ac:dyDescent="0.25">
      <c r="H33" t="s">
        <v>258</v>
      </c>
      <c r="I33">
        <v>1.27</v>
      </c>
    </row>
    <row r="34" spans="8:9" x14ac:dyDescent="0.25">
      <c r="H34" t="s">
        <v>285</v>
      </c>
      <c r="I34">
        <v>1.33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4"/>
  <sheetViews>
    <sheetView topLeftCell="I1" workbookViewId="0">
      <selection activeCell="P23" sqref="P23"/>
    </sheetView>
  </sheetViews>
  <sheetFormatPr defaultRowHeight="15" x14ac:dyDescent="0.25"/>
  <cols>
    <col min="2" max="2" width="35.5703125" bestFit="1" customWidth="1"/>
    <col min="3" max="5" width="27.85546875" customWidth="1"/>
    <col min="6" max="6" width="16.140625" bestFit="1" customWidth="1"/>
    <col min="7" max="7" width="30.7109375" bestFit="1" customWidth="1"/>
    <col min="8" max="8" width="61.28515625" bestFit="1" customWidth="1"/>
    <col min="9" max="9" width="22.42578125" bestFit="1" customWidth="1"/>
    <col min="14" max="14" width="13.5703125" bestFit="1" customWidth="1"/>
    <col min="15" max="15" width="12" bestFit="1" customWidth="1"/>
    <col min="16" max="16" width="12" customWidth="1"/>
    <col min="17" max="18" width="38.140625" bestFit="1" customWidth="1"/>
    <col min="25" max="26" width="11.85546875" bestFit="1" customWidth="1"/>
  </cols>
  <sheetData>
    <row r="1" spans="1:25" x14ac:dyDescent="0.25">
      <c r="A1" s="6" t="s">
        <v>176</v>
      </c>
      <c r="C1" t="s">
        <v>139</v>
      </c>
      <c r="D1" t="s">
        <v>146</v>
      </c>
      <c r="E1" t="s">
        <v>148</v>
      </c>
      <c r="F1" t="s">
        <v>21</v>
      </c>
      <c r="G1" t="s">
        <v>22</v>
      </c>
      <c r="H1" t="s">
        <v>18</v>
      </c>
      <c r="I1" s="2">
        <v>22505.615864166</v>
      </c>
      <c r="M1" s="28" t="s">
        <v>136</v>
      </c>
      <c r="N1" s="45"/>
      <c r="O1" s="29"/>
      <c r="P1" s="4"/>
      <c r="Q1" t="s">
        <v>164</v>
      </c>
      <c r="R1" s="51">
        <v>16723.417594269999</v>
      </c>
    </row>
    <row r="2" spans="1:25" x14ac:dyDescent="0.25">
      <c r="B2" t="s">
        <v>218</v>
      </c>
      <c r="C2">
        <f>0.367*28153646.57^0.77*I29/I28</f>
        <v>213221.52178694002</v>
      </c>
      <c r="D2" s="34" t="s">
        <v>158</v>
      </c>
      <c r="E2" s="34" t="s">
        <v>149</v>
      </c>
      <c r="F2">
        <v>47.823</v>
      </c>
      <c r="G2">
        <v>1732.91</v>
      </c>
      <c r="H2" t="s">
        <v>122</v>
      </c>
      <c r="I2">
        <v>496</v>
      </c>
      <c r="M2" s="30"/>
      <c r="N2" s="4" t="s">
        <v>137</v>
      </c>
      <c r="O2" s="31">
        <f>11.2/I34</f>
        <v>8.4210526315789469</v>
      </c>
      <c r="P2" s="4"/>
      <c r="Q2" t="s">
        <v>165</v>
      </c>
      <c r="R2" s="52">
        <v>5.4352629788556204</v>
      </c>
    </row>
    <row r="3" spans="1:25" ht="15.75" thickBot="1" x14ac:dyDescent="0.3">
      <c r="B3" s="3" t="s">
        <v>17</v>
      </c>
      <c r="C3" s="34">
        <f>8880*7323.54^0.42*I30/I28</f>
        <v>424554.03043092642</v>
      </c>
      <c r="D3" s="34" t="s">
        <v>147</v>
      </c>
      <c r="E3" s="34" t="s">
        <v>149</v>
      </c>
      <c r="F3" s="34"/>
      <c r="G3" s="34"/>
      <c r="H3" t="s">
        <v>250</v>
      </c>
      <c r="I3" s="2">
        <f>0-R3</f>
        <v>-26645.319144183999</v>
      </c>
      <c r="M3" s="32"/>
      <c r="N3" s="48" t="s">
        <v>138</v>
      </c>
      <c r="O3" s="33">
        <v>214288223.80000001</v>
      </c>
      <c r="Q3" t="s">
        <v>171</v>
      </c>
      <c r="R3">
        <v>26645.319144183999</v>
      </c>
      <c r="T3" t="s">
        <v>224</v>
      </c>
    </row>
    <row r="4" spans="1:25" x14ac:dyDescent="0.25">
      <c r="B4" t="s">
        <v>0</v>
      </c>
      <c r="C4" s="34">
        <v>3170800</v>
      </c>
      <c r="D4" s="50" t="s">
        <v>161</v>
      </c>
      <c r="E4" s="50" t="s">
        <v>156</v>
      </c>
      <c r="F4" s="34">
        <v>0</v>
      </c>
      <c r="G4" s="34">
        <v>40260.699999999997</v>
      </c>
      <c r="H4" t="s">
        <v>134</v>
      </c>
      <c r="I4" s="2">
        <f>(I1/32-0.417*1432.94)*44</f>
        <v>4653.6386932282512</v>
      </c>
      <c r="T4" t="s">
        <v>226</v>
      </c>
      <c r="U4">
        <v>5000</v>
      </c>
      <c r="V4" t="s">
        <v>189</v>
      </c>
    </row>
    <row r="5" spans="1:25" x14ac:dyDescent="0.25">
      <c r="B5" t="s">
        <v>1</v>
      </c>
      <c r="C5">
        <f>(32000+70*1122.31^1.2)*I30/I29</f>
        <v>375778.91235086013</v>
      </c>
      <c r="D5" t="s">
        <v>151</v>
      </c>
      <c r="E5" s="34" t="s">
        <v>270</v>
      </c>
      <c r="F5" s="34"/>
      <c r="G5" s="34"/>
      <c r="H5" t="s">
        <v>135</v>
      </c>
      <c r="I5">
        <v>40.4</v>
      </c>
      <c r="Q5" t="s">
        <v>179</v>
      </c>
      <c r="R5" s="34">
        <f>'BFG utility'!G4</f>
        <v>40260.699999999997</v>
      </c>
      <c r="T5" t="s">
        <v>225</v>
      </c>
      <c r="U5">
        <v>300</v>
      </c>
      <c r="V5" t="s">
        <v>189</v>
      </c>
    </row>
    <row r="6" spans="1:25" x14ac:dyDescent="0.25">
      <c r="B6" t="s">
        <v>2</v>
      </c>
      <c r="C6" s="34">
        <f>(11600+34*2540.12^0.85)*I30/I29</f>
        <v>40820.758683488057</v>
      </c>
      <c r="D6" s="34" t="s">
        <v>152</v>
      </c>
      <c r="E6" s="34" t="s">
        <v>270</v>
      </c>
      <c r="F6" s="34"/>
      <c r="G6" s="34"/>
      <c r="H6" t="s">
        <v>251</v>
      </c>
      <c r="I6" s="35">
        <f>G24+I3-G4</f>
        <v>-24729.772912257551</v>
      </c>
      <c r="R6" t="s">
        <v>223</v>
      </c>
      <c r="T6" t="s">
        <v>227</v>
      </c>
      <c r="U6">
        <v>20</v>
      </c>
      <c r="V6" t="s">
        <v>202</v>
      </c>
    </row>
    <row r="7" spans="1:25" x14ac:dyDescent="0.25">
      <c r="B7" t="s">
        <v>3</v>
      </c>
      <c r="C7">
        <f>(4*32000+70*(49.59+52.33+8.07+68.96)^1.2)*I30/I29</f>
        <v>174353.27946933557</v>
      </c>
      <c r="D7" t="s">
        <v>151</v>
      </c>
      <c r="E7" s="34" t="s">
        <v>271</v>
      </c>
      <c r="F7" s="34">
        <v>-55.47</v>
      </c>
      <c r="G7" s="34">
        <v>-1665.46</v>
      </c>
      <c r="H7" t="s">
        <v>23</v>
      </c>
      <c r="I7">
        <f>18/1.33</f>
        <v>13.533834586466165</v>
      </c>
      <c r="Q7" t="s">
        <v>186</v>
      </c>
      <c r="R7">
        <v>3.5</v>
      </c>
      <c r="S7" t="s">
        <v>188</v>
      </c>
      <c r="T7" t="s">
        <v>228</v>
      </c>
      <c r="U7">
        <v>50</v>
      </c>
      <c r="V7" t="s">
        <v>202</v>
      </c>
    </row>
    <row r="8" spans="1:25" x14ac:dyDescent="0.25">
      <c r="B8" t="s">
        <v>4</v>
      </c>
      <c r="C8" s="34">
        <f>(580000+20000*(15485.5/I31)^0.6)*I30/I29+(1400*((15485.5-(23036.7-14792.3))/I31)^0.75)*I30/I28</f>
        <v>10709647.205296651</v>
      </c>
      <c r="D8" s="34" t="s">
        <v>220</v>
      </c>
      <c r="E8" s="50" t="s">
        <v>272</v>
      </c>
      <c r="F8" s="34">
        <f>432.715+381.681+385.729</f>
        <v>1200.125</v>
      </c>
      <c r="G8" s="34">
        <f>1936.91+1708.47+1726.59</f>
        <v>5371.97</v>
      </c>
      <c r="H8" t="s">
        <v>162</v>
      </c>
      <c r="I8">
        <f>(36*R2*32/78.1/1000*22)*I30/I27</f>
        <v>2.9291640792793538</v>
      </c>
      <c r="Q8" t="s">
        <v>187</v>
      </c>
      <c r="R8">
        <v>830</v>
      </c>
      <c r="S8" t="s">
        <v>189</v>
      </c>
    </row>
    <row r="9" spans="1:25" x14ac:dyDescent="0.25">
      <c r="B9" t="s">
        <v>5</v>
      </c>
      <c r="C9" s="34">
        <f>(8000+240*(13.544/I32)^0.9)*I30/I29</f>
        <v>11538.535192816795</v>
      </c>
      <c r="D9" s="34" t="s">
        <v>154</v>
      </c>
      <c r="E9" s="34" t="s">
        <v>270</v>
      </c>
      <c r="F9" s="34">
        <v>3.9409999999999998</v>
      </c>
      <c r="G9" s="34">
        <v>17.6403</v>
      </c>
      <c r="H9" t="s">
        <v>163</v>
      </c>
      <c r="I9">
        <f>(306*R2*32/1000)*I30/I27</f>
        <v>88.387526092254504</v>
      </c>
      <c r="Q9" t="s">
        <v>192</v>
      </c>
      <c r="R9" s="58">
        <v>142416018.85444799</v>
      </c>
      <c r="S9" t="s">
        <v>191</v>
      </c>
      <c r="T9" s="58">
        <v>142416018.85444799</v>
      </c>
      <c r="U9" t="s">
        <v>191</v>
      </c>
    </row>
    <row r="10" spans="1:25" x14ac:dyDescent="0.25">
      <c r="B10" t="s">
        <v>7</v>
      </c>
      <c r="C10">
        <f>(32000+70*60.9^1.2)*I30/I29</f>
        <v>44506.044894071871</v>
      </c>
      <c r="D10" t="s">
        <v>151</v>
      </c>
      <c r="E10" s="34" t="s">
        <v>270</v>
      </c>
      <c r="F10" s="34"/>
      <c r="G10" s="34"/>
      <c r="H10" t="s">
        <v>204</v>
      </c>
      <c r="J10" t="s">
        <v>223</v>
      </c>
      <c r="K10" s="4"/>
      <c r="L10" t="s">
        <v>224</v>
      </c>
      <c r="Q10" t="s">
        <v>193</v>
      </c>
      <c r="R10">
        <v>0.75</v>
      </c>
      <c r="S10" t="s">
        <v>194</v>
      </c>
      <c r="T10">
        <f>43.91/1000*60/0.3</f>
        <v>8.782</v>
      </c>
      <c r="U10" t="s">
        <v>194</v>
      </c>
    </row>
    <row r="11" spans="1:25" x14ac:dyDescent="0.25">
      <c r="B11" t="s">
        <v>6</v>
      </c>
      <c r="C11">
        <f>(32000+70*49.53^1.2)*I30/I29</f>
        <v>42232.822559115215</v>
      </c>
      <c r="D11" t="s">
        <v>151</v>
      </c>
      <c r="E11" s="34" t="s">
        <v>270</v>
      </c>
      <c r="F11" s="34"/>
      <c r="G11" s="34"/>
      <c r="H11" t="s">
        <v>244</v>
      </c>
      <c r="I11" s="62">
        <f>(L11/1000*(U4+U5)+L11*(0.8*U6+0.2*U7))/1000000</f>
        <v>0.50758612959966098</v>
      </c>
      <c r="J11" s="56">
        <f>R9/R10/1000*I18/V18</f>
        <v>379776.05027852795</v>
      </c>
      <c r="K11" s="4" t="s">
        <v>240</v>
      </c>
      <c r="L11" s="56">
        <f>T9/T10/1000</f>
        <v>16216.809252385334</v>
      </c>
      <c r="M11" t="s">
        <v>190</v>
      </c>
      <c r="Q11" s="55" t="s">
        <v>195</v>
      </c>
      <c r="R11" s="3">
        <v>242.84</v>
      </c>
      <c r="S11" t="s">
        <v>196</v>
      </c>
      <c r="T11" t="s">
        <v>197</v>
      </c>
      <c r="V11" t="s">
        <v>203</v>
      </c>
    </row>
    <row r="12" spans="1:25" x14ac:dyDescent="0.25">
      <c r="B12" t="s">
        <v>8</v>
      </c>
      <c r="C12" s="34">
        <v>1906200</v>
      </c>
      <c r="D12" s="34" t="s">
        <v>155</v>
      </c>
      <c r="E12" s="50" t="s">
        <v>156</v>
      </c>
      <c r="F12" s="34">
        <f>-70561900*0.00000246</f>
        <v>-173.58227400000001</v>
      </c>
      <c r="G12" s="34">
        <f>F12*G7/F7</f>
        <v>-5211.724068073554</v>
      </c>
      <c r="H12" t="s">
        <v>245</v>
      </c>
      <c r="I12" s="54">
        <f>J12/1000000</f>
        <v>1.1559786280336135</v>
      </c>
      <c r="J12" s="57">
        <f>R16*X18</f>
        <v>1155978.6280336136</v>
      </c>
      <c r="K12" s="4" t="s">
        <v>31</v>
      </c>
      <c r="Q12" t="s">
        <v>198</v>
      </c>
      <c r="R12">
        <f>R11*0.55</f>
        <v>133.56200000000001</v>
      </c>
      <c r="S12" t="s">
        <v>196</v>
      </c>
      <c r="T12">
        <v>9600</v>
      </c>
      <c r="U12" t="s">
        <v>189</v>
      </c>
      <c r="V12">
        <f>T12*R12</f>
        <v>1282195.2000000002</v>
      </c>
    </row>
    <row r="13" spans="1:25" x14ac:dyDescent="0.25">
      <c r="B13" t="s">
        <v>9</v>
      </c>
      <c r="C13">
        <f>(6*32000+70*(235.9+36.77+16.02+134.15+14.24+485.603)^1.2)*I30/I29</f>
        <v>475003.62990656303</v>
      </c>
      <c r="D13" t="s">
        <v>151</v>
      </c>
      <c r="E13" s="34" t="s">
        <v>271</v>
      </c>
      <c r="F13" s="61">
        <v>-182.261</v>
      </c>
      <c r="G13" s="61">
        <v>-5472.23</v>
      </c>
      <c r="H13" t="s">
        <v>246</v>
      </c>
      <c r="I13" s="54">
        <f>(R12*T12+R13*T13+R14*T14+R15*T15*1000)/1000000</f>
        <v>3.89806768</v>
      </c>
      <c r="J13">
        <f>R11</f>
        <v>242.84</v>
      </c>
      <c r="K13" s="4" t="s">
        <v>241</v>
      </c>
      <c r="Q13" t="s">
        <v>199</v>
      </c>
      <c r="R13">
        <f>R11*0.36</f>
        <v>87.422399999999996</v>
      </c>
      <c r="S13" t="s">
        <v>196</v>
      </c>
      <c r="T13">
        <v>300</v>
      </c>
      <c r="U13" t="s">
        <v>189</v>
      </c>
      <c r="V13">
        <f>T13*R13</f>
        <v>26226.719999999998</v>
      </c>
    </row>
    <row r="14" spans="1:25" x14ac:dyDescent="0.25">
      <c r="B14" t="s">
        <v>10</v>
      </c>
      <c r="C14">
        <f>(11600+34*5715.264^0.85)*I30/I29</f>
        <v>69041.077165053648</v>
      </c>
      <c r="D14" s="34" t="s">
        <v>152</v>
      </c>
      <c r="E14" s="34" t="s">
        <v>270</v>
      </c>
      <c r="F14" s="34"/>
      <c r="G14" s="34"/>
      <c r="H14" t="s">
        <v>131</v>
      </c>
      <c r="I14" s="34">
        <f>FCI!E44</f>
        <v>159.93644544045046</v>
      </c>
      <c r="Q14" t="s">
        <v>200</v>
      </c>
      <c r="R14">
        <f>R11*0.8</f>
        <v>194.27200000000002</v>
      </c>
      <c r="S14" t="s">
        <v>196</v>
      </c>
      <c r="T14">
        <v>830</v>
      </c>
      <c r="U14" t="s">
        <v>189</v>
      </c>
      <c r="V14">
        <f>T14*R14</f>
        <v>161245.76000000001</v>
      </c>
    </row>
    <row r="15" spans="1:25" ht="15.75" thickBot="1" x14ac:dyDescent="0.3">
      <c r="B15" t="s">
        <v>11</v>
      </c>
      <c r="C15" s="34">
        <f>(580000+20000*(337.9/I31)^0.6-1100+2100*(337.9/I31)^0.6)*I30/I29</f>
        <v>1563220.4428109415</v>
      </c>
      <c r="D15" s="34" t="s">
        <v>234</v>
      </c>
      <c r="E15" s="34" t="s">
        <v>270</v>
      </c>
      <c r="F15" s="34">
        <v>16.52</v>
      </c>
      <c r="G15" s="34">
        <v>73.930000000000007</v>
      </c>
      <c r="H15" t="s">
        <v>125</v>
      </c>
      <c r="I15" s="34">
        <v>30</v>
      </c>
      <c r="Q15" t="s">
        <v>201</v>
      </c>
      <c r="R15">
        <f>R11*0.1</f>
        <v>24.284000000000002</v>
      </c>
      <c r="S15" t="s">
        <v>196</v>
      </c>
      <c r="T15">
        <v>100</v>
      </c>
      <c r="U15" t="s">
        <v>202</v>
      </c>
      <c r="V15">
        <f>T15*R15*1000</f>
        <v>2428400</v>
      </c>
    </row>
    <row r="16" spans="1:25" x14ac:dyDescent="0.25">
      <c r="B16" s="1" t="s">
        <v>12</v>
      </c>
      <c r="C16" s="34">
        <f>(11600+34*5942.06^0.85)*I30/I29</f>
        <v>70946.610263552226</v>
      </c>
      <c r="D16" s="34" t="s">
        <v>152</v>
      </c>
      <c r="E16" s="50" t="s">
        <v>273</v>
      </c>
      <c r="F16" s="34"/>
      <c r="G16" s="34"/>
      <c r="H16" t="s">
        <v>126</v>
      </c>
      <c r="I16">
        <v>0.15</v>
      </c>
      <c r="Q16" s="28" t="s">
        <v>207</v>
      </c>
      <c r="R16" s="45">
        <v>1000</v>
      </c>
      <c r="S16" s="45" t="s">
        <v>189</v>
      </c>
      <c r="T16" s="45">
        <v>5.24</v>
      </c>
      <c r="U16" s="45" t="s">
        <v>214</v>
      </c>
      <c r="V16" s="45" t="s">
        <v>215</v>
      </c>
      <c r="W16" s="45"/>
      <c r="X16" s="45">
        <v>0.1</v>
      </c>
      <c r="Y16" s="29" t="s">
        <v>213</v>
      </c>
    </row>
    <row r="17" spans="2:25" x14ac:dyDescent="0.25">
      <c r="B17" s="1" t="s">
        <v>13</v>
      </c>
      <c r="C17" s="61">
        <v>263100</v>
      </c>
      <c r="D17" s="34" t="s">
        <v>157</v>
      </c>
      <c r="E17" s="34" t="s">
        <v>156</v>
      </c>
      <c r="F17" s="34">
        <f>126.654+76.478</f>
        <v>203.13200000000001</v>
      </c>
      <c r="G17" s="34">
        <v>2285.75</v>
      </c>
      <c r="H17" t="s">
        <v>127</v>
      </c>
      <c r="I17">
        <f>(1-(1+I16)^-I15)/I16</f>
        <v>6.5659796367074357</v>
      </c>
      <c r="Q17" s="30" t="s">
        <v>208</v>
      </c>
      <c r="R17" s="4">
        <v>158.4</v>
      </c>
      <c r="S17" s="4" t="s">
        <v>209</v>
      </c>
      <c r="T17" s="4">
        <f>V17*X17</f>
        <v>7140000</v>
      </c>
      <c r="U17" s="4" t="s">
        <v>222</v>
      </c>
      <c r="V17" s="4">
        <v>28000</v>
      </c>
      <c r="W17" s="4" t="s">
        <v>221</v>
      </c>
      <c r="X17" s="4">
        <v>255</v>
      </c>
      <c r="Y17" s="31" t="s">
        <v>210</v>
      </c>
    </row>
    <row r="18" spans="2:25" ht="15.75" thickBot="1" x14ac:dyDescent="0.3">
      <c r="B18" s="3" t="s">
        <v>16</v>
      </c>
      <c r="C18" s="34">
        <f>0.367*5922760^0.77*I30/I28</f>
        <v>68524.64684027544</v>
      </c>
      <c r="D18" s="34" t="s">
        <v>158</v>
      </c>
      <c r="E18" s="34" t="s">
        <v>149</v>
      </c>
      <c r="F18" s="34">
        <v>-15.56</v>
      </c>
      <c r="G18" s="34">
        <v>-410.88</v>
      </c>
      <c r="H18" t="s">
        <v>128</v>
      </c>
      <c r="I18">
        <v>8000</v>
      </c>
      <c r="Q18" s="32" t="s">
        <v>212</v>
      </c>
      <c r="R18" s="48">
        <f>R17*T18/T17</f>
        <v>245.11845378151261</v>
      </c>
      <c r="S18" s="48" t="s">
        <v>209</v>
      </c>
      <c r="T18" s="59">
        <v>11048900</v>
      </c>
      <c r="U18" s="48" t="s">
        <v>222</v>
      </c>
      <c r="V18" s="48">
        <v>4000</v>
      </c>
      <c r="W18" s="48" t="s">
        <v>211</v>
      </c>
      <c r="X18" s="48">
        <f>R18*T16*(1-X16)</f>
        <v>1155.9786280336136</v>
      </c>
      <c r="Y18" s="33" t="s">
        <v>247</v>
      </c>
    </row>
    <row r="19" spans="2:25" x14ac:dyDescent="0.25">
      <c r="B19" t="s">
        <v>14</v>
      </c>
      <c r="C19" s="34">
        <f>(580000+20000*(14792.3/I31)^0.6)*I30/I29</f>
        <v>8878801.8160874303</v>
      </c>
      <c r="D19" s="34" t="s">
        <v>153</v>
      </c>
      <c r="E19" s="34" t="s">
        <v>270</v>
      </c>
      <c r="F19" s="34">
        <f>363.363+390.372+392.671</f>
        <v>1146.4059999999999</v>
      </c>
      <c r="G19" s="34">
        <f>1626.47+1747.37+1757.66</f>
        <v>5131.5</v>
      </c>
      <c r="I19" s="56"/>
    </row>
    <row r="20" spans="2:25" x14ac:dyDescent="0.25">
      <c r="B20" t="s">
        <v>15</v>
      </c>
      <c r="C20" s="61">
        <v>11117900</v>
      </c>
      <c r="D20" s="34" t="s">
        <v>159</v>
      </c>
      <c r="E20" s="34" t="s">
        <v>156</v>
      </c>
      <c r="F20" s="34">
        <v>-1785.34</v>
      </c>
      <c r="G20" s="34">
        <v>-7991.5</v>
      </c>
      <c r="H20" t="s">
        <v>130</v>
      </c>
      <c r="I20">
        <f>'Maintenance &amp; Operations cost'!J39</f>
        <v>44.847748328705826</v>
      </c>
    </row>
    <row r="21" spans="2:25" x14ac:dyDescent="0.25">
      <c r="B21" t="s">
        <v>25</v>
      </c>
      <c r="F21" s="34">
        <f>'NG utility'!F4</f>
        <v>222.255</v>
      </c>
      <c r="G21" s="34">
        <f>'NG utility'!G4</f>
        <v>8053.64</v>
      </c>
      <c r="H21" t="s">
        <v>129</v>
      </c>
      <c r="I21">
        <f>(I2*I1/1000*I18+I7*(-I6)*I18/1000-O3*O2/100)/1000000</f>
        <v>73.934468887179918</v>
      </c>
    </row>
    <row r="22" spans="2:25" x14ac:dyDescent="0.25">
      <c r="B22" t="s">
        <v>248</v>
      </c>
      <c r="C22" s="56">
        <f>I11+I12+I13</f>
        <v>5.5616324376332749</v>
      </c>
      <c r="H22" t="s">
        <v>132</v>
      </c>
      <c r="I22" s="49">
        <f>I17*(I21-I20)-I14</f>
        <v>31.046369445089965</v>
      </c>
    </row>
    <row r="23" spans="2:25" x14ac:dyDescent="0.25">
      <c r="B23" t="s">
        <v>249</v>
      </c>
      <c r="C23">
        <f>I8+I5*I4/1000/1000000</f>
        <v>2.9293520862825604</v>
      </c>
      <c r="H23" t="s">
        <v>133</v>
      </c>
      <c r="I23" s="49">
        <f>I14/(I21-I20)</f>
        <v>5.4986070058645629</v>
      </c>
    </row>
    <row r="24" spans="2:25" x14ac:dyDescent="0.25">
      <c r="B24" t="s">
        <v>20</v>
      </c>
      <c r="C24" s="2">
        <f>SUM(C2:C23)/1000000</f>
        <v>39.62019982472254</v>
      </c>
      <c r="D24" s="2"/>
      <c r="E24" s="2"/>
      <c r="F24" s="35">
        <f>SUM(F2:F21)+I9</f>
        <v>716.37625209225462</v>
      </c>
      <c r="G24" s="35">
        <f>SUM(G2:G21)</f>
        <v>42176.246231926445</v>
      </c>
      <c r="H24" t="s">
        <v>173</v>
      </c>
      <c r="I24" s="49">
        <f>(I2*I1/1000*I18-O3*O2/100)/1000000</f>
        <v>71.256959639537001</v>
      </c>
    </row>
    <row r="25" spans="2:25" ht="15.75" thickBot="1" x14ac:dyDescent="0.3">
      <c r="H25" t="s">
        <v>172</v>
      </c>
      <c r="I25" s="49">
        <f>(0-I22*1000000)/(I15*I18*(-I6)/1000)</f>
        <v>-5.2309365373814805</v>
      </c>
    </row>
    <row r="26" spans="2:25" x14ac:dyDescent="0.25">
      <c r="H26" s="28" t="s">
        <v>91</v>
      </c>
      <c r="I26" s="29"/>
    </row>
    <row r="27" spans="2:25" x14ac:dyDescent="0.25">
      <c r="H27" s="30">
        <v>1988</v>
      </c>
      <c r="I27" s="31">
        <v>342.5</v>
      </c>
    </row>
    <row r="28" spans="2:25" x14ac:dyDescent="0.25">
      <c r="H28" s="30">
        <v>2006</v>
      </c>
      <c r="I28" s="31">
        <v>499.6</v>
      </c>
    </row>
    <row r="29" spans="2:25" x14ac:dyDescent="0.25">
      <c r="H29" s="30">
        <v>2010</v>
      </c>
      <c r="I29" s="31">
        <v>532.9</v>
      </c>
    </row>
    <row r="30" spans="2:25" ht="15.75" thickBot="1" x14ac:dyDescent="0.3">
      <c r="H30" s="32">
        <v>2016</v>
      </c>
      <c r="I30" s="33">
        <v>568.79999999999995</v>
      </c>
    </row>
    <row r="31" spans="2:25" x14ac:dyDescent="0.25">
      <c r="H31" s="5" t="s">
        <v>140</v>
      </c>
      <c r="I31">
        <v>0.72</v>
      </c>
    </row>
    <row r="32" spans="2:25" x14ac:dyDescent="0.25">
      <c r="H32" s="5" t="s">
        <v>160</v>
      </c>
      <c r="I32">
        <v>0.88</v>
      </c>
    </row>
    <row r="33" spans="8:9" x14ac:dyDescent="0.25">
      <c r="H33" t="s">
        <v>258</v>
      </c>
      <c r="I33">
        <v>1.27</v>
      </c>
    </row>
    <row r="34" spans="8:9" x14ac:dyDescent="0.25">
      <c r="H34" t="s">
        <v>285</v>
      </c>
      <c r="I34">
        <v>1.33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Y38"/>
  <sheetViews>
    <sheetView topLeftCell="H1" workbookViewId="0">
      <selection activeCell="Q28" sqref="Q28"/>
    </sheetView>
  </sheetViews>
  <sheetFormatPr defaultRowHeight="15" x14ac:dyDescent="0.25"/>
  <cols>
    <col min="2" max="2" width="37.7109375" bestFit="1" customWidth="1"/>
    <col min="3" max="3" width="32.7109375" bestFit="1" customWidth="1"/>
    <col min="4" max="4" width="32.7109375" customWidth="1"/>
    <col min="5" max="5" width="77.7109375" bestFit="1" customWidth="1"/>
    <col min="6" max="6" width="16.140625" bestFit="1" customWidth="1"/>
    <col min="7" max="7" width="30.7109375" bestFit="1" customWidth="1"/>
    <col min="8" max="8" width="61.28515625" bestFit="1" customWidth="1"/>
    <col min="9" max="9" width="10.5703125" bestFit="1" customWidth="1"/>
    <col min="13" max="13" width="17.28515625" bestFit="1" customWidth="1"/>
    <col min="14" max="14" width="13.5703125" bestFit="1" customWidth="1"/>
    <col min="15" max="15" width="14" bestFit="1" customWidth="1"/>
    <col min="17" max="17" width="38.140625" bestFit="1" customWidth="1"/>
    <col min="25" max="25" width="11.85546875" bestFit="1" customWidth="1"/>
  </cols>
  <sheetData>
    <row r="1" spans="2:25" x14ac:dyDescent="0.25">
      <c r="C1" t="s">
        <v>139</v>
      </c>
      <c r="D1" t="s">
        <v>146</v>
      </c>
      <c r="E1" t="s">
        <v>148</v>
      </c>
      <c r="F1" t="s">
        <v>21</v>
      </c>
      <c r="G1" t="s">
        <v>22</v>
      </c>
      <c r="H1" t="s">
        <v>18</v>
      </c>
      <c r="I1" s="2">
        <v>22944.3485834532</v>
      </c>
      <c r="K1" s="4"/>
      <c r="M1" s="28" t="s">
        <v>136</v>
      </c>
      <c r="N1" s="45"/>
      <c r="O1" s="29"/>
      <c r="Q1" t="s">
        <v>164</v>
      </c>
      <c r="R1" s="51">
        <v>16723.417594269999</v>
      </c>
    </row>
    <row r="2" spans="2:25" x14ac:dyDescent="0.25">
      <c r="B2" t="s">
        <v>218</v>
      </c>
      <c r="C2">
        <f>0.367*25503700^0.77*I29/I28</f>
        <v>197594.02684231466</v>
      </c>
      <c r="D2" s="34" t="s">
        <v>158</v>
      </c>
      <c r="E2" s="34" t="s">
        <v>149</v>
      </c>
      <c r="F2">
        <v>43.322000000000003</v>
      </c>
      <c r="G2">
        <v>1569.8</v>
      </c>
      <c r="H2" t="s">
        <v>122</v>
      </c>
      <c r="I2">
        <v>496</v>
      </c>
      <c r="K2" s="4"/>
      <c r="M2" s="30"/>
      <c r="N2" s="4" t="s">
        <v>137</v>
      </c>
      <c r="O2" s="31">
        <f>11.2/I34</f>
        <v>8.4210526315789469</v>
      </c>
      <c r="Q2" t="s">
        <v>165</v>
      </c>
      <c r="R2" s="52">
        <v>5.4352629788556204</v>
      </c>
    </row>
    <row r="3" spans="2:25" ht="15.75" thickBot="1" x14ac:dyDescent="0.3">
      <c r="B3" s="3" t="s">
        <v>17</v>
      </c>
      <c r="C3" s="34">
        <f>8880*7739.05^0.42*I30/I28</f>
        <v>434509.16150733677</v>
      </c>
      <c r="D3" s="34" t="s">
        <v>147</v>
      </c>
      <c r="E3" s="34" t="s">
        <v>149</v>
      </c>
      <c r="F3" s="34"/>
      <c r="G3" s="34"/>
      <c r="H3" t="s">
        <v>250</v>
      </c>
      <c r="I3" s="2">
        <f>0-R3</f>
        <v>-26645.319144183999</v>
      </c>
      <c r="K3" s="4"/>
      <c r="M3" s="32"/>
      <c r="N3" s="48" t="s">
        <v>138</v>
      </c>
      <c r="O3">
        <v>214288223.80000001</v>
      </c>
      <c r="Q3" t="s">
        <v>171</v>
      </c>
      <c r="R3">
        <v>26645.319144183999</v>
      </c>
      <c r="T3" t="s">
        <v>224</v>
      </c>
    </row>
    <row r="4" spans="2:25" x14ac:dyDescent="0.25">
      <c r="B4" t="s">
        <v>0</v>
      </c>
      <c r="C4" s="34">
        <v>3209600</v>
      </c>
      <c r="D4" s="50" t="s">
        <v>161</v>
      </c>
      <c r="E4" s="50" t="s">
        <v>156</v>
      </c>
      <c r="F4" s="34">
        <v>225.75399999999999</v>
      </c>
      <c r="G4" s="34">
        <v>8180.43</v>
      </c>
      <c r="H4" t="s">
        <v>134</v>
      </c>
      <c r="I4" s="2">
        <f>(I1/32-0.417*1432.94)*44</f>
        <v>5256.8961822481506</v>
      </c>
      <c r="K4" s="4"/>
      <c r="O4">
        <v>214288223.80000001</v>
      </c>
      <c r="T4" t="s">
        <v>226</v>
      </c>
      <c r="U4">
        <v>5000</v>
      </c>
      <c r="V4" t="s">
        <v>189</v>
      </c>
    </row>
    <row r="5" spans="2:25" x14ac:dyDescent="0.25">
      <c r="B5" t="s">
        <v>1</v>
      </c>
      <c r="C5">
        <f>(32000+70*1112.87^1.2)*I30/I29</f>
        <v>372333.65678742895</v>
      </c>
      <c r="D5" t="s">
        <v>151</v>
      </c>
      <c r="E5" s="34" t="s">
        <v>270</v>
      </c>
      <c r="F5" s="34"/>
      <c r="G5" s="34"/>
      <c r="H5" t="s">
        <v>135</v>
      </c>
      <c r="I5">
        <v>40.4</v>
      </c>
      <c r="K5" s="4"/>
      <c r="Q5" t="s">
        <v>179</v>
      </c>
      <c r="R5" s="34">
        <f>'BFG utility'!G4</f>
        <v>40260.699999999997</v>
      </c>
      <c r="T5" t="s">
        <v>225</v>
      </c>
      <c r="U5">
        <v>300</v>
      </c>
      <c r="V5" t="s">
        <v>189</v>
      </c>
    </row>
    <row r="6" spans="2:25" x14ac:dyDescent="0.25">
      <c r="B6" t="s">
        <v>2</v>
      </c>
      <c r="C6" s="34">
        <f>(11600+34*2540.12^0.85)*I30/I29</f>
        <v>40820.758683488057</v>
      </c>
      <c r="D6" s="34" t="s">
        <v>152</v>
      </c>
      <c r="E6" s="50" t="s">
        <v>273</v>
      </c>
      <c r="F6" s="34"/>
      <c r="G6" s="34"/>
      <c r="H6" t="s">
        <v>251</v>
      </c>
      <c r="I6" s="35">
        <f>I3+G30-G27</f>
        <v>-24766.975489599248</v>
      </c>
      <c r="K6" s="38"/>
      <c r="R6" t="s">
        <v>223</v>
      </c>
      <c r="T6" t="s">
        <v>227</v>
      </c>
      <c r="U6">
        <v>20</v>
      </c>
      <c r="V6" t="s">
        <v>202</v>
      </c>
    </row>
    <row r="7" spans="2:25" x14ac:dyDescent="0.25">
      <c r="B7" t="s">
        <v>232</v>
      </c>
      <c r="C7">
        <f>(4*32000+70*(82+12.04+14.4+54.7)^1.2)*I30/I29</f>
        <v>170389.38257225888</v>
      </c>
      <c r="D7" t="s">
        <v>151</v>
      </c>
      <c r="E7" s="34" t="s">
        <v>270</v>
      </c>
      <c r="F7" s="34">
        <v>-55.99</v>
      </c>
      <c r="G7" s="34">
        <v>-1681.1</v>
      </c>
      <c r="H7" t="s">
        <v>23</v>
      </c>
      <c r="I7">
        <f>18/1.33</f>
        <v>13.533834586466165</v>
      </c>
      <c r="K7" s="4"/>
      <c r="Q7" t="s">
        <v>186</v>
      </c>
      <c r="R7">
        <v>3.5</v>
      </c>
      <c r="S7" t="s">
        <v>188</v>
      </c>
      <c r="T7" t="s">
        <v>228</v>
      </c>
      <c r="U7">
        <v>50</v>
      </c>
      <c r="V7" t="s">
        <v>202</v>
      </c>
    </row>
    <row r="8" spans="2:25" x14ac:dyDescent="0.25">
      <c r="B8" s="3" t="s">
        <v>141</v>
      </c>
      <c r="C8" s="34">
        <f>(580000+20000*(14371.3/I31)^0.6)*I30/I29+(1400*((14371.3-(21169.9-13812.7))/I31)^0.75)*I30/I28</f>
        <v>10299890.170798874</v>
      </c>
      <c r="D8" s="34" t="s">
        <v>220</v>
      </c>
      <c r="E8" s="50" t="s">
        <v>272</v>
      </c>
      <c r="F8" s="34">
        <f>401.842+354.495+357.439</f>
        <v>1113.7760000000001</v>
      </c>
      <c r="G8" s="34">
        <f>1798.71+1586.78+1599.96</f>
        <v>4985.45</v>
      </c>
      <c r="H8" t="s">
        <v>162</v>
      </c>
      <c r="I8">
        <f>(36*R2*32/78.1/1000*22)*I30/I27</f>
        <v>2.9291640792793538</v>
      </c>
      <c r="K8" s="4"/>
      <c r="Q8" t="s">
        <v>187</v>
      </c>
      <c r="R8">
        <v>830</v>
      </c>
      <c r="S8" t="s">
        <v>189</v>
      </c>
    </row>
    <row r="9" spans="2:25" x14ac:dyDescent="0.25">
      <c r="B9" t="s">
        <v>184</v>
      </c>
      <c r="C9" s="50">
        <f>(8000+240*(0.0023/I32)^0.9)*I30/I29</f>
        <v>8540.1514037314046</v>
      </c>
      <c r="D9" s="34" t="s">
        <v>154</v>
      </c>
      <c r="E9" s="50" t="s">
        <v>150</v>
      </c>
      <c r="F9" s="34">
        <v>3.7000000000000002E-3</v>
      </c>
      <c r="G9" s="34">
        <v>3.7000000000000002E-3</v>
      </c>
      <c r="H9" t="s">
        <v>163</v>
      </c>
      <c r="I9">
        <f>(306*R2*32/1000)*I30/I27</f>
        <v>88.387526092254504</v>
      </c>
      <c r="K9" s="4"/>
      <c r="Q9" t="s">
        <v>192</v>
      </c>
      <c r="R9" s="58">
        <v>142416018.85444799</v>
      </c>
      <c r="S9" t="s">
        <v>191</v>
      </c>
      <c r="T9" s="58">
        <v>142416018.85444799</v>
      </c>
      <c r="U9" t="s">
        <v>191</v>
      </c>
    </row>
    <row r="10" spans="2:25" x14ac:dyDescent="0.25">
      <c r="B10" t="s">
        <v>219</v>
      </c>
      <c r="C10" s="2">
        <f>0.367*19460.7^0.77*I30/I28</f>
        <v>838.79384452707677</v>
      </c>
      <c r="D10" s="34" t="s">
        <v>158</v>
      </c>
      <c r="E10" s="34" t="s">
        <v>149</v>
      </c>
      <c r="F10">
        <v>3.3000000000000002E-2</v>
      </c>
      <c r="G10">
        <v>1.2</v>
      </c>
      <c r="H10" t="s">
        <v>204</v>
      </c>
      <c r="J10" t="s">
        <v>223</v>
      </c>
      <c r="K10" s="4"/>
      <c r="L10" t="s">
        <v>224</v>
      </c>
      <c r="Q10" t="s">
        <v>193</v>
      </c>
      <c r="R10">
        <v>0.75</v>
      </c>
      <c r="S10" t="s">
        <v>194</v>
      </c>
      <c r="T10">
        <f>43.91/1000*60/0.3</f>
        <v>8.782</v>
      </c>
      <c r="U10" t="s">
        <v>194</v>
      </c>
    </row>
    <row r="11" spans="2:25" x14ac:dyDescent="0.25">
      <c r="B11" t="s">
        <v>230</v>
      </c>
      <c r="C11">
        <v>237100</v>
      </c>
      <c r="D11" s="50" t="s">
        <v>229</v>
      </c>
      <c r="E11" s="50" t="s">
        <v>156</v>
      </c>
      <c r="F11" s="34">
        <v>5.4560000000000004</v>
      </c>
      <c r="G11" s="34">
        <v>197.7</v>
      </c>
      <c r="H11" t="s">
        <v>244</v>
      </c>
      <c r="I11" s="62">
        <f>(L11/1000*(U4+U5)+L11*(0.8*U6+0.2*U7))/1000000</f>
        <v>0.50758612959966098</v>
      </c>
      <c r="J11" s="56">
        <f>R9/R10/1000*I18/V18</f>
        <v>379776.05027852795</v>
      </c>
      <c r="K11" s="4" t="s">
        <v>240</v>
      </c>
      <c r="L11" s="56">
        <f>T9/T10/1000</f>
        <v>16216.809252385334</v>
      </c>
      <c r="M11" t="s">
        <v>190</v>
      </c>
      <c r="Q11" s="55" t="s">
        <v>195</v>
      </c>
      <c r="R11" s="3">
        <v>242.84</v>
      </c>
      <c r="S11" t="s">
        <v>196</v>
      </c>
      <c r="T11" t="s">
        <v>197</v>
      </c>
      <c r="V11" t="s">
        <v>203</v>
      </c>
    </row>
    <row r="12" spans="2:25" x14ac:dyDescent="0.25">
      <c r="B12" t="s">
        <v>185</v>
      </c>
      <c r="C12">
        <v>697900</v>
      </c>
      <c r="D12" s="34" t="s">
        <v>231</v>
      </c>
      <c r="E12" s="50" t="s">
        <v>156</v>
      </c>
      <c r="H12" t="s">
        <v>245</v>
      </c>
      <c r="I12" s="54">
        <f>J12/1000000</f>
        <v>1.1559786280336135</v>
      </c>
      <c r="J12" s="57">
        <f>R16*X18</f>
        <v>1155978.6280336136</v>
      </c>
      <c r="K12" s="4" t="s">
        <v>31</v>
      </c>
      <c r="Q12" t="s">
        <v>198</v>
      </c>
      <c r="R12">
        <f>R11*0.55</f>
        <v>133.56200000000001</v>
      </c>
      <c r="S12" t="s">
        <v>196</v>
      </c>
      <c r="T12">
        <v>9600</v>
      </c>
      <c r="U12" t="s">
        <v>189</v>
      </c>
      <c r="V12">
        <f>T12*R12</f>
        <v>1282195.2000000002</v>
      </c>
    </row>
    <row r="13" spans="2:25" x14ac:dyDescent="0.25">
      <c r="B13" t="s">
        <v>233</v>
      </c>
      <c r="C13">
        <v>108500</v>
      </c>
      <c r="D13" t="s">
        <v>155</v>
      </c>
      <c r="E13" s="50" t="s">
        <v>156</v>
      </c>
      <c r="F13" s="34">
        <v>-21.486000000000001</v>
      </c>
      <c r="G13" s="34">
        <v>-567.37</v>
      </c>
      <c r="H13" t="s">
        <v>246</v>
      </c>
      <c r="I13" s="54">
        <f>(R12*T12+R13*T13+R14*T14+R15*T15*1000)/1000000</f>
        <v>3.89806768</v>
      </c>
      <c r="J13">
        <f>R11</f>
        <v>242.84</v>
      </c>
      <c r="K13" s="4" t="s">
        <v>241</v>
      </c>
      <c r="Q13" t="s">
        <v>199</v>
      </c>
      <c r="R13">
        <f>R11*0.36</f>
        <v>87.422399999999996</v>
      </c>
      <c r="S13" t="s">
        <v>196</v>
      </c>
      <c r="T13">
        <v>300</v>
      </c>
      <c r="U13" t="s">
        <v>189</v>
      </c>
      <c r="V13">
        <f>T13*R13</f>
        <v>26226.719999999998</v>
      </c>
    </row>
    <row r="14" spans="2:25" x14ac:dyDescent="0.25">
      <c r="B14" t="s">
        <v>142</v>
      </c>
      <c r="C14">
        <f>(580000+20000*(1330.71/I31)^0.6-1100+2100*(1330.71/I31)^0.6)*I30/I29</f>
        <v>2769474.9145038896</v>
      </c>
      <c r="D14" s="34" t="s">
        <v>234</v>
      </c>
      <c r="E14" s="34" t="s">
        <v>270</v>
      </c>
      <c r="F14" s="50">
        <v>103.13</v>
      </c>
      <c r="G14">
        <v>461.62799999999999</v>
      </c>
      <c r="H14" t="s">
        <v>131</v>
      </c>
      <c r="I14" s="34">
        <f>FCI!F44</f>
        <v>169.34012531049908</v>
      </c>
      <c r="K14" s="4"/>
      <c r="Q14" t="s">
        <v>200</v>
      </c>
      <c r="R14">
        <f>R11*0.8</f>
        <v>194.27200000000002</v>
      </c>
      <c r="S14" t="s">
        <v>196</v>
      </c>
      <c r="T14">
        <v>830</v>
      </c>
      <c r="U14" t="s">
        <v>189</v>
      </c>
      <c r="V14">
        <f>T14*R14</f>
        <v>161245.76000000001</v>
      </c>
    </row>
    <row r="15" spans="2:25" ht="15.75" thickBot="1" x14ac:dyDescent="0.3">
      <c r="B15" t="s">
        <v>235</v>
      </c>
      <c r="C15">
        <f>(8000+240*(13.1255/I32)^0.9)*I30/I29</f>
        <v>11454.987944830467</v>
      </c>
      <c r="D15" s="34" t="s">
        <v>154</v>
      </c>
      <c r="E15" s="34" t="s">
        <v>270</v>
      </c>
      <c r="H15" t="s">
        <v>125</v>
      </c>
      <c r="I15" s="34">
        <v>30</v>
      </c>
      <c r="K15" s="4"/>
      <c r="Q15" t="s">
        <v>201</v>
      </c>
      <c r="R15">
        <f>R11*0.1</f>
        <v>24.284000000000002</v>
      </c>
      <c r="S15" t="s">
        <v>196</v>
      </c>
      <c r="T15">
        <v>100</v>
      </c>
      <c r="U15" t="s">
        <v>202</v>
      </c>
      <c r="V15">
        <f>T15*R15*1000</f>
        <v>2428400</v>
      </c>
    </row>
    <row r="16" spans="2:25" x14ac:dyDescent="0.25">
      <c r="B16" t="s">
        <v>7</v>
      </c>
      <c r="C16">
        <f>(32000+70*58.734^1.2)*I30/I29</f>
        <v>44065.882703098279</v>
      </c>
      <c r="D16" t="s">
        <v>151</v>
      </c>
      <c r="E16" s="34" t="s">
        <v>270</v>
      </c>
      <c r="F16" s="34"/>
      <c r="G16" s="34"/>
      <c r="H16" t="s">
        <v>126</v>
      </c>
      <c r="I16">
        <v>0.15</v>
      </c>
      <c r="K16" s="4"/>
      <c r="Q16" s="28" t="s">
        <v>207</v>
      </c>
      <c r="R16" s="45">
        <v>1000</v>
      </c>
      <c r="S16" s="45" t="s">
        <v>189</v>
      </c>
      <c r="T16" s="45">
        <v>5.24</v>
      </c>
      <c r="U16" s="45" t="s">
        <v>214</v>
      </c>
      <c r="V16" s="45" t="s">
        <v>215</v>
      </c>
      <c r="W16" s="45"/>
      <c r="X16" s="45">
        <v>0.1</v>
      </c>
      <c r="Y16" s="29" t="s">
        <v>213</v>
      </c>
    </row>
    <row r="17" spans="2:25" x14ac:dyDescent="0.25">
      <c r="B17" t="s">
        <v>6</v>
      </c>
      <c r="C17">
        <f>(32000+70*40.67^1.2)*I30/I29</f>
        <v>40531.642995543691</v>
      </c>
      <c r="D17" t="s">
        <v>151</v>
      </c>
      <c r="E17" s="34" t="s">
        <v>270</v>
      </c>
      <c r="F17" s="34"/>
      <c r="G17" s="34"/>
      <c r="H17" t="s">
        <v>127</v>
      </c>
      <c r="I17">
        <f>(1-(1+I16)^-I15)/I16</f>
        <v>6.5659796367074357</v>
      </c>
      <c r="K17" s="4"/>
      <c r="Q17" s="30" t="s">
        <v>208</v>
      </c>
      <c r="R17" s="4">
        <v>158.4</v>
      </c>
      <c r="S17" s="4" t="s">
        <v>209</v>
      </c>
      <c r="T17" s="4">
        <f>V17*X17</f>
        <v>7140000</v>
      </c>
      <c r="U17" s="4" t="s">
        <v>222</v>
      </c>
      <c r="V17" s="4">
        <v>28000</v>
      </c>
      <c r="W17" s="4" t="s">
        <v>221</v>
      </c>
      <c r="X17" s="4">
        <v>255</v>
      </c>
      <c r="Y17" s="31" t="s">
        <v>210</v>
      </c>
    </row>
    <row r="18" spans="2:25" ht="15.75" thickBot="1" x14ac:dyDescent="0.3">
      <c r="B18" t="s">
        <v>8</v>
      </c>
      <c r="C18" s="34">
        <v>1906200</v>
      </c>
      <c r="D18" s="34" t="s">
        <v>155</v>
      </c>
      <c r="E18" s="50" t="s">
        <v>156</v>
      </c>
      <c r="F18" s="34">
        <f>-78860800*0.00000246</f>
        <v>-193.997568</v>
      </c>
      <c r="G18" s="34">
        <f>F18*G7/F7</f>
        <v>-5824.7778454152522</v>
      </c>
      <c r="H18" t="s">
        <v>128</v>
      </c>
      <c r="I18">
        <v>8000</v>
      </c>
      <c r="K18" s="4"/>
      <c r="Q18" s="32" t="s">
        <v>212</v>
      </c>
      <c r="R18" s="48">
        <f>R17*T18/T17</f>
        <v>245.11845378151261</v>
      </c>
      <c r="S18" s="48" t="s">
        <v>209</v>
      </c>
      <c r="T18" s="59">
        <v>11048900</v>
      </c>
      <c r="U18" s="48" t="s">
        <v>222</v>
      </c>
      <c r="V18" s="48">
        <v>4000</v>
      </c>
      <c r="W18" s="48" t="s">
        <v>211</v>
      </c>
      <c r="X18" s="48">
        <f>R18*T16*(1-X16)</f>
        <v>1155.9786280336136</v>
      </c>
      <c r="Y18" s="33" t="s">
        <v>247</v>
      </c>
    </row>
    <row r="19" spans="2:25" x14ac:dyDescent="0.25">
      <c r="B19" t="s">
        <v>9</v>
      </c>
      <c r="C19">
        <f>(6*32000+70*(235.9+36.77+16.02+134.15+14.24+485.603)^1.2)*I30/I29</f>
        <v>475003.62990656303</v>
      </c>
      <c r="D19" t="s">
        <v>151</v>
      </c>
      <c r="E19" s="50" t="s">
        <v>271</v>
      </c>
      <c r="F19" s="63">
        <v>-163.68299999999999</v>
      </c>
      <c r="G19" s="63">
        <v>-4914.45</v>
      </c>
      <c r="I19" s="56"/>
      <c r="K19" s="4"/>
    </row>
    <row r="20" spans="2:25" x14ac:dyDescent="0.25">
      <c r="B20" t="s">
        <v>10</v>
      </c>
      <c r="C20">
        <f>(11600+34*5942.1^0.85)*I30/I29</f>
        <v>70946.945368567322</v>
      </c>
      <c r="D20" s="34" t="s">
        <v>152</v>
      </c>
      <c r="E20" s="34" t="s">
        <v>270</v>
      </c>
      <c r="F20" s="34"/>
      <c r="G20" s="34"/>
      <c r="H20" t="s">
        <v>130</v>
      </c>
      <c r="I20">
        <f>'Maintenance &amp; Operations cost'!K39</f>
        <v>47.320503280647664</v>
      </c>
      <c r="K20" s="4"/>
    </row>
    <row r="21" spans="2:25" x14ac:dyDescent="0.25">
      <c r="B21" s="3" t="s">
        <v>143</v>
      </c>
      <c r="C21" s="34">
        <f>(580000+20000*(293.95/I31)^0.6-1100+2100*(293.95/I31)^0.6)*I30/I29</f>
        <v>1487401.166602734</v>
      </c>
      <c r="D21" s="34" t="s">
        <v>234</v>
      </c>
      <c r="E21" s="34" t="s">
        <v>270</v>
      </c>
      <c r="F21" s="50">
        <v>11.323</v>
      </c>
      <c r="G21" s="50">
        <v>50.683799999999998</v>
      </c>
      <c r="H21" t="s">
        <v>129</v>
      </c>
      <c r="I21">
        <f>(I2*I1/1000*I18+I7*(-I6)*I18/1000-O3*O2/100)/1000000</f>
        <v>75.679388265534996</v>
      </c>
      <c r="K21" s="4"/>
    </row>
    <row r="22" spans="2:25" x14ac:dyDescent="0.25">
      <c r="B22" s="1" t="s">
        <v>12</v>
      </c>
      <c r="C22" s="34">
        <f>(11600+34*5942.06^0.85)*I30/I29</f>
        <v>70946.610263552226</v>
      </c>
      <c r="D22" s="34" t="s">
        <v>152</v>
      </c>
      <c r="E22" s="50" t="s">
        <v>273</v>
      </c>
      <c r="F22" s="34"/>
      <c r="G22" s="34"/>
      <c r="H22" t="s">
        <v>132</v>
      </c>
      <c r="I22" s="49">
        <f>I17*(I21-I20)-I14</f>
        <v>16.863736019999408</v>
      </c>
      <c r="K22" s="4"/>
    </row>
    <row r="23" spans="2:25" x14ac:dyDescent="0.25">
      <c r="B23" s="1" t="s">
        <v>13</v>
      </c>
      <c r="C23" s="34">
        <v>255800</v>
      </c>
      <c r="D23" s="34" t="s">
        <v>157</v>
      </c>
      <c r="E23" s="34" t="s">
        <v>156</v>
      </c>
      <c r="F23" s="34">
        <f>126.796+75.965</f>
        <v>202.76100000000002</v>
      </c>
      <c r="G23" s="34">
        <f>2270.41</f>
        <v>2270.41</v>
      </c>
      <c r="H23" t="s">
        <v>133</v>
      </c>
      <c r="I23" s="49">
        <f>I14/(I21-I20)</f>
        <v>5.9713252266702916</v>
      </c>
    </row>
    <row r="24" spans="2:25" x14ac:dyDescent="0.25">
      <c r="B24" s="3" t="s">
        <v>16</v>
      </c>
      <c r="C24" s="34">
        <f>0.367*4310380^0.77*I30/I28</f>
        <v>53651.294197994772</v>
      </c>
      <c r="D24" s="34" t="s">
        <v>158</v>
      </c>
      <c r="E24" s="34" t="s">
        <v>149</v>
      </c>
      <c r="F24" s="34">
        <v>-11.323</v>
      </c>
      <c r="G24" s="34">
        <v>-299.024</v>
      </c>
      <c r="H24" t="s">
        <v>173</v>
      </c>
      <c r="I24" s="49">
        <f>(I2*I1/1000*I18-O3*O2/100)/1000000</f>
        <v>72.997851069668627</v>
      </c>
    </row>
    <row r="25" spans="2:25" ht="15.75" thickBot="1" x14ac:dyDescent="0.3">
      <c r="B25" s="3" t="s">
        <v>236</v>
      </c>
      <c r="C25" s="34">
        <f>(580000+20000*(13812.7/I31)^0.6)*I30/I29</f>
        <v>8546121.4528249521</v>
      </c>
      <c r="D25" s="34" t="s">
        <v>153</v>
      </c>
      <c r="E25" s="50" t="s">
        <v>270</v>
      </c>
      <c r="F25" s="34">
        <f>339.299+364.52+366.667</f>
        <v>1070.4859999999999</v>
      </c>
      <c r="G25" s="34">
        <f>1518.76+1631.65+1641.26</f>
        <v>4791.67</v>
      </c>
      <c r="H25" t="s">
        <v>172</v>
      </c>
      <c r="I25" s="49">
        <f>(0-I22*1000000)/(I15*I18*(-I6)/1000)</f>
        <v>-2.8370669151550283</v>
      </c>
    </row>
    <row r="26" spans="2:25" x14ac:dyDescent="0.25">
      <c r="B26" t="s">
        <v>15</v>
      </c>
      <c r="C26" s="34">
        <v>10440100</v>
      </c>
      <c r="D26" s="34" t="s">
        <v>159</v>
      </c>
      <c r="E26" s="34" t="s">
        <v>156</v>
      </c>
      <c r="F26" s="34">
        <v>-1640.67</v>
      </c>
      <c r="G26" s="34">
        <v>-7343.91</v>
      </c>
      <c r="H26" s="28" t="s">
        <v>91</v>
      </c>
      <c r="I26" s="29"/>
    </row>
    <row r="27" spans="2:25" x14ac:dyDescent="0.25">
      <c r="B27" t="s">
        <v>180</v>
      </c>
      <c r="F27">
        <v>0</v>
      </c>
      <c r="G27" s="34">
        <f>'BFG utility'!G4</f>
        <v>40260.699999999997</v>
      </c>
      <c r="H27" s="30">
        <v>1988</v>
      </c>
      <c r="I27" s="31">
        <v>342.5</v>
      </c>
    </row>
    <row r="28" spans="2:25" x14ac:dyDescent="0.25">
      <c r="B28" t="s">
        <v>248</v>
      </c>
      <c r="C28" s="56">
        <f>I11+I12+I13</f>
        <v>5.5616324376332749</v>
      </c>
      <c r="H28" s="30">
        <v>2006</v>
      </c>
      <c r="I28" s="31">
        <v>499.6</v>
      </c>
    </row>
    <row r="29" spans="2:25" x14ac:dyDescent="0.25">
      <c r="B29" t="s">
        <v>249</v>
      </c>
      <c r="C29" s="2">
        <f>I8+I5*I4/1000/1000000</f>
        <v>2.9293764578851165</v>
      </c>
      <c r="E29" s="50"/>
      <c r="F29" s="35"/>
      <c r="G29" s="35"/>
      <c r="H29" s="30">
        <v>2010</v>
      </c>
      <c r="I29" s="31">
        <v>532.9</v>
      </c>
    </row>
    <row r="30" spans="2:25" ht="15.75" thickBot="1" x14ac:dyDescent="0.3">
      <c r="B30" t="s">
        <v>24</v>
      </c>
      <c r="C30" s="2">
        <f>SUM(C2:C29)/1000000</f>
        <v>41.949723120760581</v>
      </c>
      <c r="F30" s="35">
        <f>SUM(F2:F27)+I9</f>
        <v>777.28265809225411</v>
      </c>
      <c r="G30" s="35">
        <f>SUM(G2:G27)</f>
        <v>42139.043654584748</v>
      </c>
      <c r="H30" s="32">
        <v>2016</v>
      </c>
      <c r="I30" s="33">
        <v>568.79999999999995</v>
      </c>
    </row>
    <row r="31" spans="2:25" x14ac:dyDescent="0.25">
      <c r="D31" s="34"/>
      <c r="E31" s="50"/>
      <c r="H31" s="5" t="s">
        <v>140</v>
      </c>
      <c r="I31">
        <v>0.72</v>
      </c>
    </row>
    <row r="32" spans="2:25" x14ac:dyDescent="0.25">
      <c r="H32" s="5" t="s">
        <v>160</v>
      </c>
      <c r="I32">
        <v>0.88</v>
      </c>
    </row>
    <row r="33" spans="8:16" x14ac:dyDescent="0.25">
      <c r="H33" t="s">
        <v>258</v>
      </c>
      <c r="I33">
        <v>1.27</v>
      </c>
      <c r="M33" s="55"/>
    </row>
    <row r="34" spans="8:16" x14ac:dyDescent="0.25">
      <c r="H34" t="s">
        <v>285</v>
      </c>
      <c r="I34">
        <v>1.33</v>
      </c>
    </row>
    <row r="35" spans="8:16" x14ac:dyDescent="0.25">
      <c r="N35" s="34"/>
      <c r="O35" s="34"/>
      <c r="P35" s="34"/>
    </row>
    <row r="36" spans="8:16" x14ac:dyDescent="0.25">
      <c r="N36" s="34"/>
      <c r="O36" s="34"/>
      <c r="P36" s="34"/>
    </row>
    <row r="37" spans="8:16" x14ac:dyDescent="0.25">
      <c r="N37" s="34"/>
      <c r="O37" s="34"/>
      <c r="P37" s="34"/>
    </row>
    <row r="38" spans="8:16" x14ac:dyDescent="0.25">
      <c r="M38" s="6"/>
      <c r="N38" s="34"/>
      <c r="O38" s="34"/>
      <c r="P38" s="34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Y34"/>
  <sheetViews>
    <sheetView topLeftCell="H1" workbookViewId="0">
      <selection activeCell="O18" sqref="O18"/>
    </sheetView>
  </sheetViews>
  <sheetFormatPr defaultRowHeight="15" x14ac:dyDescent="0.25"/>
  <cols>
    <col min="2" max="2" width="37.7109375" bestFit="1" customWidth="1"/>
    <col min="3" max="3" width="32.7109375" customWidth="1"/>
    <col min="4" max="4" width="48.42578125" customWidth="1"/>
    <col min="5" max="5" width="49.5703125" customWidth="1"/>
    <col min="6" max="6" width="16.140625" bestFit="1" customWidth="1"/>
    <col min="7" max="7" width="30.7109375" bestFit="1" customWidth="1"/>
    <col min="8" max="8" width="61.28515625" bestFit="1" customWidth="1"/>
    <col min="13" max="13" width="17.28515625" bestFit="1" customWidth="1"/>
    <col min="14" max="14" width="13.5703125" bestFit="1" customWidth="1"/>
    <col min="15" max="15" width="14" bestFit="1" customWidth="1"/>
    <col min="17" max="17" width="38.140625" bestFit="1" customWidth="1"/>
    <col min="25" max="25" width="11.85546875" bestFit="1" customWidth="1"/>
  </cols>
  <sheetData>
    <row r="1" spans="2:25" x14ac:dyDescent="0.25">
      <c r="C1" t="s">
        <v>139</v>
      </c>
      <c r="D1" t="s">
        <v>146</v>
      </c>
      <c r="E1" t="s">
        <v>148</v>
      </c>
      <c r="F1" t="s">
        <v>21</v>
      </c>
      <c r="G1" t="s">
        <v>22</v>
      </c>
      <c r="H1" t="s">
        <v>18</v>
      </c>
      <c r="I1" s="2">
        <v>22505.615864166</v>
      </c>
      <c r="K1" s="4"/>
      <c r="M1" s="28" t="s">
        <v>136</v>
      </c>
      <c r="N1" s="45"/>
      <c r="O1" s="29"/>
      <c r="Q1" t="s">
        <v>164</v>
      </c>
      <c r="R1" s="51">
        <v>16723.417594269999</v>
      </c>
    </row>
    <row r="2" spans="2:25" x14ac:dyDescent="0.25">
      <c r="B2" t="s">
        <v>218</v>
      </c>
      <c r="C2">
        <f>0.367*28153646.57^0.77*I29/I28</f>
        <v>213221.52178694002</v>
      </c>
      <c r="D2" s="34" t="s">
        <v>158</v>
      </c>
      <c r="E2" s="34" t="s">
        <v>149</v>
      </c>
      <c r="F2">
        <v>47.823</v>
      </c>
      <c r="G2">
        <v>1732.91</v>
      </c>
      <c r="H2" t="s">
        <v>122</v>
      </c>
      <c r="I2">
        <v>496</v>
      </c>
      <c r="K2" s="4"/>
      <c r="M2" s="30"/>
      <c r="N2" s="4" t="s">
        <v>137</v>
      </c>
      <c r="O2" s="31">
        <f>11.2/I34</f>
        <v>8.4210526315789469</v>
      </c>
      <c r="Q2" t="s">
        <v>165</v>
      </c>
      <c r="R2" s="52">
        <v>5.4352629788556204</v>
      </c>
    </row>
    <row r="3" spans="2:25" ht="15.75" thickBot="1" x14ac:dyDescent="0.3">
      <c r="B3" s="3" t="s">
        <v>17</v>
      </c>
      <c r="C3" s="34">
        <f>8880*7323.54^0.42*I30/I28</f>
        <v>424554.03043092642</v>
      </c>
      <c r="D3" s="34" t="s">
        <v>147</v>
      </c>
      <c r="E3" s="34" t="s">
        <v>149</v>
      </c>
      <c r="F3" s="34"/>
      <c r="G3" s="34"/>
      <c r="H3" t="s">
        <v>250</v>
      </c>
      <c r="I3" s="2">
        <f>0-R3</f>
        <v>-26645.319144183999</v>
      </c>
      <c r="K3" s="4"/>
      <c r="M3" s="32"/>
      <c r="N3" s="48" t="s">
        <v>138</v>
      </c>
      <c r="O3" s="33">
        <v>214288223.80000001</v>
      </c>
      <c r="Q3" t="s">
        <v>171</v>
      </c>
      <c r="R3">
        <v>26645.319144183999</v>
      </c>
      <c r="T3" t="s">
        <v>224</v>
      </c>
    </row>
    <row r="4" spans="2:25" x14ac:dyDescent="0.25">
      <c r="B4" t="s">
        <v>0</v>
      </c>
      <c r="C4" s="34">
        <v>3170800</v>
      </c>
      <c r="D4" s="50" t="s">
        <v>161</v>
      </c>
      <c r="E4" s="50" t="s">
        <v>156</v>
      </c>
      <c r="F4" s="34">
        <v>222.255</v>
      </c>
      <c r="G4" s="34">
        <v>8053.64</v>
      </c>
      <c r="H4" t="s">
        <v>134</v>
      </c>
      <c r="I4" s="2">
        <f>(I1/32-0.417*1432.94)*44</f>
        <v>4653.6386932282512</v>
      </c>
      <c r="K4" s="4"/>
      <c r="T4" t="s">
        <v>226</v>
      </c>
      <c r="U4">
        <v>5000</v>
      </c>
      <c r="V4" t="s">
        <v>189</v>
      </c>
    </row>
    <row r="5" spans="2:25" x14ac:dyDescent="0.25">
      <c r="B5" t="s">
        <v>1</v>
      </c>
      <c r="C5">
        <f>(32000+70*1122.31^1.2)*I30/I29</f>
        <v>375778.91235086013</v>
      </c>
      <c r="D5" t="s">
        <v>151</v>
      </c>
      <c r="E5" s="34" t="s">
        <v>270</v>
      </c>
      <c r="F5" s="34"/>
      <c r="G5" s="34"/>
      <c r="H5" t="s">
        <v>135</v>
      </c>
      <c r="I5">
        <v>40.4</v>
      </c>
      <c r="K5" s="4"/>
      <c r="Q5" t="s">
        <v>179</v>
      </c>
      <c r="R5" s="34">
        <f>'BFG utility'!G4</f>
        <v>40260.699999999997</v>
      </c>
      <c r="T5" t="s">
        <v>225</v>
      </c>
      <c r="U5">
        <v>300</v>
      </c>
      <c r="V5" t="s">
        <v>189</v>
      </c>
    </row>
    <row r="6" spans="2:25" x14ac:dyDescent="0.25">
      <c r="B6" t="s">
        <v>2</v>
      </c>
      <c r="C6" s="34">
        <f>(11600+34*2540.12^0.85)*I30/I29</f>
        <v>40820.758683488057</v>
      </c>
      <c r="D6" s="34" t="s">
        <v>152</v>
      </c>
      <c r="E6" s="34" t="s">
        <v>270</v>
      </c>
      <c r="F6" s="34"/>
      <c r="G6" s="34"/>
      <c r="H6" t="s">
        <v>251</v>
      </c>
      <c r="I6" s="35">
        <f>I3+G24-G21</f>
        <v>-24729.772912257551</v>
      </c>
      <c r="K6" s="38"/>
      <c r="R6" t="s">
        <v>223</v>
      </c>
      <c r="T6" t="s">
        <v>227</v>
      </c>
      <c r="U6">
        <v>20</v>
      </c>
      <c r="V6" t="s">
        <v>202</v>
      </c>
    </row>
    <row r="7" spans="2:25" x14ac:dyDescent="0.25">
      <c r="B7" t="s">
        <v>3</v>
      </c>
      <c r="C7">
        <f>(4*32000+70*(49.59+52.33+8.07+68.96)^1.2)*I30/I29</f>
        <v>174353.27946933557</v>
      </c>
      <c r="D7" t="s">
        <v>151</v>
      </c>
      <c r="E7" s="34" t="s">
        <v>271</v>
      </c>
      <c r="F7" s="34">
        <v>-55.47</v>
      </c>
      <c r="G7" s="34">
        <v>-1665.46</v>
      </c>
      <c r="H7" t="s">
        <v>23</v>
      </c>
      <c r="I7">
        <f>18/1.33</f>
        <v>13.533834586466165</v>
      </c>
      <c r="K7" s="4"/>
      <c r="Q7" t="s">
        <v>186</v>
      </c>
      <c r="R7">
        <v>3.5</v>
      </c>
      <c r="S7" t="s">
        <v>188</v>
      </c>
      <c r="T7" t="s">
        <v>228</v>
      </c>
      <c r="U7">
        <v>50</v>
      </c>
      <c r="V7" t="s">
        <v>202</v>
      </c>
    </row>
    <row r="8" spans="2:25" x14ac:dyDescent="0.25">
      <c r="B8" s="3" t="s">
        <v>141</v>
      </c>
      <c r="C8" s="34">
        <f>(580000+20000*(15485.5/I31)^0.6)*I30/I29+(1400*((15485.5-(23036.7-14792.3))/I31)^0.75)*I30/I28</f>
        <v>10709647.205296651</v>
      </c>
      <c r="D8" s="34" t="s">
        <v>220</v>
      </c>
      <c r="E8" s="50" t="s">
        <v>272</v>
      </c>
      <c r="F8" s="34">
        <f>432.715+381.681+385.729</f>
        <v>1200.125</v>
      </c>
      <c r="G8" s="34">
        <f>1936.91+1708.47+1726.59</f>
        <v>5371.97</v>
      </c>
      <c r="H8" t="s">
        <v>162</v>
      </c>
      <c r="I8">
        <f>(36*R2*32/78.1/1000*22)*I30/I27</f>
        <v>2.9291640792793538</v>
      </c>
      <c r="K8" s="4"/>
      <c r="Q8" t="s">
        <v>187</v>
      </c>
      <c r="R8">
        <v>830</v>
      </c>
      <c r="S8" t="s">
        <v>189</v>
      </c>
    </row>
    <row r="9" spans="2:25" x14ac:dyDescent="0.25">
      <c r="B9" t="s">
        <v>5</v>
      </c>
      <c r="C9" s="34">
        <f>(8000+240*(13.544/I32)^0.9)*I30/I29</f>
        <v>11538.535192816795</v>
      </c>
      <c r="D9" s="34" t="s">
        <v>154</v>
      </c>
      <c r="E9" s="34" t="s">
        <v>270</v>
      </c>
      <c r="F9" s="34">
        <v>3.9409999999999998</v>
      </c>
      <c r="G9" s="34">
        <v>17.6403</v>
      </c>
      <c r="H9" t="s">
        <v>163</v>
      </c>
      <c r="I9">
        <f>(306*R2*32/1000)*I30/I27</f>
        <v>88.387526092254504</v>
      </c>
      <c r="K9" s="4"/>
      <c r="Q9" t="s">
        <v>192</v>
      </c>
      <c r="R9" s="58">
        <v>142416018.85444799</v>
      </c>
      <c r="S9" t="s">
        <v>191</v>
      </c>
      <c r="T9" s="58">
        <v>142416018.85444799</v>
      </c>
      <c r="U9" t="s">
        <v>191</v>
      </c>
    </row>
    <row r="10" spans="2:25" x14ac:dyDescent="0.25">
      <c r="B10" t="s">
        <v>7</v>
      </c>
      <c r="C10">
        <f>(32000+70*60.9^1.2)*I30/I29</f>
        <v>44506.044894071871</v>
      </c>
      <c r="D10" t="s">
        <v>151</v>
      </c>
      <c r="E10" s="34" t="s">
        <v>270</v>
      </c>
      <c r="F10" s="34"/>
      <c r="G10" s="34"/>
      <c r="H10" t="s">
        <v>204</v>
      </c>
      <c r="J10" t="s">
        <v>223</v>
      </c>
      <c r="K10" s="4"/>
      <c r="L10" t="s">
        <v>224</v>
      </c>
      <c r="Q10" t="s">
        <v>193</v>
      </c>
      <c r="R10">
        <v>0.75</v>
      </c>
      <c r="S10" t="s">
        <v>194</v>
      </c>
      <c r="T10">
        <f>43.91/1000*60/0.3</f>
        <v>8.782</v>
      </c>
      <c r="U10" t="s">
        <v>194</v>
      </c>
    </row>
    <row r="11" spans="2:25" x14ac:dyDescent="0.25">
      <c r="B11" t="s">
        <v>6</v>
      </c>
      <c r="C11">
        <f>(32000+70*49.53^1.2)*I30/I29</f>
        <v>42232.822559115215</v>
      </c>
      <c r="D11" t="s">
        <v>151</v>
      </c>
      <c r="E11" s="34" t="s">
        <v>270</v>
      </c>
      <c r="F11" s="34"/>
      <c r="G11" s="34"/>
      <c r="H11" t="s">
        <v>244</v>
      </c>
      <c r="I11" s="62">
        <f>(L11/1000*(U4+U5)+L11*(0.8*U6+0.2*U7))/1000000</f>
        <v>0.50758612959966098</v>
      </c>
      <c r="J11" s="56">
        <f>R9/R10/1000*I18/V18</f>
        <v>379776.05027852795</v>
      </c>
      <c r="K11" s="4" t="s">
        <v>240</v>
      </c>
      <c r="L11" s="56">
        <f>T9/T10/1000</f>
        <v>16216.809252385334</v>
      </c>
      <c r="M11" t="s">
        <v>190</v>
      </c>
      <c r="Q11" s="55" t="s">
        <v>195</v>
      </c>
      <c r="R11" s="3">
        <v>242.84</v>
      </c>
      <c r="S11" t="s">
        <v>196</v>
      </c>
      <c r="T11" t="s">
        <v>197</v>
      </c>
      <c r="V11" t="s">
        <v>203</v>
      </c>
    </row>
    <row r="12" spans="2:25" x14ac:dyDescent="0.25">
      <c r="B12" t="s">
        <v>8</v>
      </c>
      <c r="C12" s="34">
        <v>1906200</v>
      </c>
      <c r="D12" s="34" t="s">
        <v>155</v>
      </c>
      <c r="E12" s="50" t="s">
        <v>156</v>
      </c>
      <c r="F12" s="34">
        <f>-70561900*0.00000246</f>
        <v>-173.58227400000001</v>
      </c>
      <c r="G12" s="34">
        <f>F12*G7/F7</f>
        <v>-5211.724068073554</v>
      </c>
      <c r="H12" t="s">
        <v>245</v>
      </c>
      <c r="I12" s="54">
        <f>J12/1000000</f>
        <v>1.1559786280336135</v>
      </c>
      <c r="J12" s="57">
        <f>R16*X18</f>
        <v>1155978.6280336136</v>
      </c>
      <c r="K12" s="4" t="s">
        <v>31</v>
      </c>
      <c r="Q12" t="s">
        <v>198</v>
      </c>
      <c r="R12">
        <f>R11*0.55</f>
        <v>133.56200000000001</v>
      </c>
      <c r="S12" t="s">
        <v>196</v>
      </c>
      <c r="T12">
        <v>9600</v>
      </c>
      <c r="U12" t="s">
        <v>189</v>
      </c>
      <c r="V12">
        <f>T12*R12</f>
        <v>1282195.2000000002</v>
      </c>
    </row>
    <row r="13" spans="2:25" x14ac:dyDescent="0.25">
      <c r="B13" t="s">
        <v>9</v>
      </c>
      <c r="C13">
        <f>(6*32000+70*(235.9+36.77+16.02+134.15+14.24+485.603)^1.2)*I30/I29</f>
        <v>475003.62990656303</v>
      </c>
      <c r="D13" t="s">
        <v>151</v>
      </c>
      <c r="E13" s="34" t="s">
        <v>271</v>
      </c>
      <c r="F13" s="61">
        <v>-182.261</v>
      </c>
      <c r="G13" s="61">
        <v>-5472.23</v>
      </c>
      <c r="H13" t="s">
        <v>246</v>
      </c>
      <c r="I13" s="54">
        <f>(R12*T12+R13*T13+R14*T14+R15*T15*1000)/1000000</f>
        <v>3.89806768</v>
      </c>
      <c r="J13">
        <f>R11</f>
        <v>242.84</v>
      </c>
      <c r="K13" s="4" t="s">
        <v>241</v>
      </c>
      <c r="Q13" t="s">
        <v>199</v>
      </c>
      <c r="R13">
        <f>R11*0.36</f>
        <v>87.422399999999996</v>
      </c>
      <c r="S13" t="s">
        <v>196</v>
      </c>
      <c r="T13">
        <v>300</v>
      </c>
      <c r="U13" t="s">
        <v>189</v>
      </c>
      <c r="V13">
        <f>T13*R13</f>
        <v>26226.719999999998</v>
      </c>
    </row>
    <row r="14" spans="2:25" x14ac:dyDescent="0.25">
      <c r="B14" t="s">
        <v>10</v>
      </c>
      <c r="C14">
        <f>(11600+34*5715.264^0.85)*I30/I29</f>
        <v>69041.077165053648</v>
      </c>
      <c r="D14" s="34" t="s">
        <v>152</v>
      </c>
      <c r="E14" s="34" t="s">
        <v>270</v>
      </c>
      <c r="F14" s="34"/>
      <c r="G14" s="34"/>
      <c r="H14" t="s">
        <v>131</v>
      </c>
      <c r="I14" s="34">
        <f>FCI!D44/I33</f>
        <v>125.93420900822871</v>
      </c>
      <c r="K14" s="4"/>
      <c r="Q14" t="s">
        <v>200</v>
      </c>
      <c r="R14">
        <f>R11*0.8</f>
        <v>194.27200000000002</v>
      </c>
      <c r="S14" t="s">
        <v>196</v>
      </c>
      <c r="T14">
        <v>830</v>
      </c>
      <c r="U14" t="s">
        <v>189</v>
      </c>
      <c r="V14">
        <f>T14*R14</f>
        <v>161245.76000000001</v>
      </c>
    </row>
    <row r="15" spans="2:25" ht="15.75" thickBot="1" x14ac:dyDescent="0.3">
      <c r="B15" s="3" t="s">
        <v>142</v>
      </c>
      <c r="C15" s="34">
        <f>(580000+20000*(337.9/I31)^0.6-1100+2100*(337.9/I31)^0.6)*I30/I29</f>
        <v>1563220.4428109415</v>
      </c>
      <c r="D15" s="34" t="s">
        <v>234</v>
      </c>
      <c r="E15" s="34" t="s">
        <v>270</v>
      </c>
      <c r="F15" s="34">
        <v>16.52</v>
      </c>
      <c r="G15" s="34">
        <v>73.930000000000007</v>
      </c>
      <c r="H15" t="s">
        <v>125</v>
      </c>
      <c r="I15" s="34">
        <v>30</v>
      </c>
      <c r="K15" s="4"/>
      <c r="Q15" t="s">
        <v>201</v>
      </c>
      <c r="R15">
        <f>R11*0.1</f>
        <v>24.284000000000002</v>
      </c>
      <c r="S15" t="s">
        <v>196</v>
      </c>
      <c r="T15">
        <v>100</v>
      </c>
      <c r="U15" t="s">
        <v>202</v>
      </c>
      <c r="V15">
        <f>T15*R15*1000</f>
        <v>2428400</v>
      </c>
    </row>
    <row r="16" spans="2:25" x14ac:dyDescent="0.25">
      <c r="B16" s="1" t="s">
        <v>12</v>
      </c>
      <c r="C16" s="34">
        <f>(11600+34*5942.06^0.85)*I30/I29</f>
        <v>70946.610263552226</v>
      </c>
      <c r="D16" s="34" t="s">
        <v>152</v>
      </c>
      <c r="E16" s="50" t="s">
        <v>273</v>
      </c>
      <c r="F16" s="34"/>
      <c r="G16" s="34"/>
      <c r="H16" t="s">
        <v>126</v>
      </c>
      <c r="I16">
        <v>0.15</v>
      </c>
      <c r="K16" s="4"/>
      <c r="Q16" s="28" t="s">
        <v>207</v>
      </c>
      <c r="R16" s="45">
        <v>1000</v>
      </c>
      <c r="S16" s="45" t="s">
        <v>189</v>
      </c>
      <c r="T16" s="45">
        <v>5.24</v>
      </c>
      <c r="U16" s="45" t="s">
        <v>214</v>
      </c>
      <c r="V16" s="45" t="s">
        <v>215</v>
      </c>
      <c r="W16" s="45"/>
      <c r="X16" s="45">
        <v>0.1</v>
      </c>
      <c r="Y16" s="29" t="s">
        <v>213</v>
      </c>
    </row>
    <row r="17" spans="2:25" x14ac:dyDescent="0.25">
      <c r="B17" s="1" t="s">
        <v>13</v>
      </c>
      <c r="C17" s="61">
        <v>263100</v>
      </c>
      <c r="D17" s="34" t="s">
        <v>157</v>
      </c>
      <c r="E17" s="34" t="s">
        <v>156</v>
      </c>
      <c r="F17" s="34">
        <f>126.654+76.478</f>
        <v>203.13200000000001</v>
      </c>
      <c r="G17" s="34">
        <v>2285.75</v>
      </c>
      <c r="H17" t="s">
        <v>127</v>
      </c>
      <c r="I17">
        <f>(1-(1+I16)^-I15)/I16</f>
        <v>6.5659796367074357</v>
      </c>
      <c r="K17" s="4"/>
      <c r="Q17" s="30" t="s">
        <v>208</v>
      </c>
      <c r="R17" s="4">
        <v>158.4</v>
      </c>
      <c r="S17" s="4" t="s">
        <v>209</v>
      </c>
      <c r="T17" s="4">
        <f>V17*X17</f>
        <v>7140000</v>
      </c>
      <c r="U17" s="4" t="s">
        <v>222</v>
      </c>
      <c r="V17" s="4">
        <v>28000</v>
      </c>
      <c r="W17" s="4" t="s">
        <v>221</v>
      </c>
      <c r="X17" s="4">
        <v>255</v>
      </c>
      <c r="Y17" s="31" t="s">
        <v>210</v>
      </c>
    </row>
    <row r="18" spans="2:25" ht="15.75" thickBot="1" x14ac:dyDescent="0.3">
      <c r="B18" s="3" t="s">
        <v>16</v>
      </c>
      <c r="C18" s="34">
        <f>0.367*5922760^0.77*I30/I28</f>
        <v>68524.64684027544</v>
      </c>
      <c r="D18" s="34" t="s">
        <v>158</v>
      </c>
      <c r="E18" s="34" t="s">
        <v>149</v>
      </c>
      <c r="F18" s="34">
        <v>-15.56</v>
      </c>
      <c r="G18" s="34">
        <v>-410.88</v>
      </c>
      <c r="H18" t="s">
        <v>128</v>
      </c>
      <c r="I18">
        <v>8000</v>
      </c>
      <c r="K18" s="4"/>
      <c r="Q18" s="32" t="s">
        <v>212</v>
      </c>
      <c r="R18" s="48">
        <f>R17*T18/T17</f>
        <v>245.11845378151261</v>
      </c>
      <c r="S18" s="48" t="s">
        <v>209</v>
      </c>
      <c r="T18" s="59">
        <v>11048900</v>
      </c>
      <c r="U18" s="48" t="s">
        <v>222</v>
      </c>
      <c r="V18" s="48">
        <v>4000</v>
      </c>
      <c r="W18" s="48" t="s">
        <v>211</v>
      </c>
      <c r="X18" s="48">
        <f>R18*T16*(1-X16)</f>
        <v>1155.9786280336136</v>
      </c>
      <c r="Y18" s="33" t="s">
        <v>247</v>
      </c>
    </row>
    <row r="19" spans="2:25" x14ac:dyDescent="0.25">
      <c r="B19" s="3" t="s">
        <v>143</v>
      </c>
      <c r="C19" s="34">
        <f>(580000+20000*(14792.3/I31)^0.6)*I30/I29</f>
        <v>8878801.8160874303</v>
      </c>
      <c r="D19" s="34" t="s">
        <v>153</v>
      </c>
      <c r="E19" s="34" t="s">
        <v>270</v>
      </c>
      <c r="F19" s="34">
        <f>363.363+390.372+392.671</f>
        <v>1146.4059999999999</v>
      </c>
      <c r="G19" s="34">
        <f>1626.47+1747.37+1757.66</f>
        <v>5131.5</v>
      </c>
      <c r="I19" s="56"/>
      <c r="K19" s="4"/>
    </row>
    <row r="20" spans="2:25" x14ac:dyDescent="0.25">
      <c r="B20" t="s">
        <v>15</v>
      </c>
      <c r="C20" s="61">
        <v>11117900</v>
      </c>
      <c r="D20" s="34" t="s">
        <v>159</v>
      </c>
      <c r="E20" s="34" t="s">
        <v>156</v>
      </c>
      <c r="F20" s="34">
        <v>-1785.34</v>
      </c>
      <c r="G20" s="34">
        <v>-7991.5</v>
      </c>
      <c r="H20" t="s">
        <v>205</v>
      </c>
      <c r="I20" s="56">
        <f>'Maintenance &amp; Operations cost'!I39</f>
        <v>44.847748328705826</v>
      </c>
      <c r="K20" s="4"/>
      <c r="N20" s="34"/>
      <c r="O20" s="34"/>
      <c r="P20" s="34"/>
    </row>
    <row r="21" spans="2:25" x14ac:dyDescent="0.25">
      <c r="B21" t="s">
        <v>180</v>
      </c>
      <c r="F21">
        <v>0</v>
      </c>
      <c r="G21">
        <f>'BFG utility'!G4</f>
        <v>40260.699999999997</v>
      </c>
      <c r="H21" t="s">
        <v>206</v>
      </c>
      <c r="I21">
        <f>(I2*I1/1000*I18+I7*(-I6)*I18/1000-O3*O2/100)/1000000</f>
        <v>73.934468887179918</v>
      </c>
      <c r="K21" s="4"/>
      <c r="N21" s="34"/>
      <c r="O21" s="34"/>
      <c r="P21" s="34"/>
    </row>
    <row r="22" spans="2:25" x14ac:dyDescent="0.25">
      <c r="B22" t="s">
        <v>248</v>
      </c>
      <c r="C22" s="56">
        <f>I11+I12+I13</f>
        <v>5.5616324376332749</v>
      </c>
      <c r="H22" t="s">
        <v>132</v>
      </c>
      <c r="I22" s="71">
        <f>I17*(I21-I20)-I14</f>
        <v>65.048605877311715</v>
      </c>
      <c r="K22" s="4"/>
      <c r="N22" s="34"/>
      <c r="O22" s="34"/>
      <c r="P22" s="34"/>
    </row>
    <row r="23" spans="2:25" x14ac:dyDescent="0.25">
      <c r="B23" t="s">
        <v>249</v>
      </c>
      <c r="C23">
        <f>I8+I5*I4/1000/1000000</f>
        <v>2.9293520862825604</v>
      </c>
      <c r="H23" t="s">
        <v>133</v>
      </c>
      <c r="I23" s="49">
        <f>I14/(I21-I20)</f>
        <v>4.3296118156413881</v>
      </c>
      <c r="M23" s="6"/>
      <c r="N23" s="34"/>
      <c r="O23" s="34"/>
      <c r="P23" s="34"/>
    </row>
    <row r="24" spans="2:25" x14ac:dyDescent="0.25">
      <c r="B24" t="s">
        <v>24</v>
      </c>
      <c r="C24" s="2">
        <f>SUM(C2:C23)/1000000</f>
        <v>39.62019982472254</v>
      </c>
      <c r="F24" s="35">
        <f>SUM(F2:F21)+I9</f>
        <v>716.37625209225428</v>
      </c>
      <c r="G24" s="35">
        <f>SUM(G2:G21)</f>
        <v>42176.246231926445</v>
      </c>
      <c r="H24" t="s">
        <v>173</v>
      </c>
      <c r="I24" s="49">
        <f>(I2*I1/1000*I18-O3*O2/100)/1000000</f>
        <v>71.256959639537001</v>
      </c>
    </row>
    <row r="25" spans="2:25" ht="15.75" thickBot="1" x14ac:dyDescent="0.3">
      <c r="G25">
        <f>10102.8+1377.55</f>
        <v>11480.349999999999</v>
      </c>
      <c r="H25" t="s">
        <v>172</v>
      </c>
      <c r="I25" s="49">
        <f>(0-I22*1000000)/(I15*I18*(-I6)/1000)</f>
        <v>-10.959900795845584</v>
      </c>
    </row>
    <row r="26" spans="2:25" x14ac:dyDescent="0.25">
      <c r="G26" s="34">
        <f>G24+G25</f>
        <v>53656.596231926444</v>
      </c>
      <c r="H26" s="28" t="s">
        <v>91</v>
      </c>
      <c r="I26" s="29"/>
    </row>
    <row r="27" spans="2:25" x14ac:dyDescent="0.25">
      <c r="H27" s="30">
        <v>1988</v>
      </c>
      <c r="I27" s="31">
        <v>342.5</v>
      </c>
    </row>
    <row r="28" spans="2:25" x14ac:dyDescent="0.25">
      <c r="H28" s="30">
        <v>2006</v>
      </c>
      <c r="I28" s="31">
        <v>499.6</v>
      </c>
    </row>
    <row r="29" spans="2:25" x14ac:dyDescent="0.25">
      <c r="H29" s="30">
        <v>2010</v>
      </c>
      <c r="I29" s="31">
        <v>532.9</v>
      </c>
    </row>
    <row r="30" spans="2:25" ht="15.75" thickBot="1" x14ac:dyDescent="0.3">
      <c r="H30" s="32">
        <v>2016</v>
      </c>
      <c r="I30" s="33">
        <v>568.79999999999995</v>
      </c>
    </row>
    <row r="31" spans="2:25" x14ac:dyDescent="0.25">
      <c r="H31" s="5" t="s">
        <v>140</v>
      </c>
      <c r="I31">
        <v>0.72</v>
      </c>
    </row>
    <row r="32" spans="2:25" x14ac:dyDescent="0.25">
      <c r="H32" s="5" t="s">
        <v>160</v>
      </c>
      <c r="I32">
        <v>0.88</v>
      </c>
    </row>
    <row r="33" spans="8:9" x14ac:dyDescent="0.25">
      <c r="H33" t="s">
        <v>258</v>
      </c>
      <c r="I33">
        <v>1.27</v>
      </c>
    </row>
    <row r="34" spans="8:9" x14ac:dyDescent="0.25">
      <c r="H34" t="s">
        <v>285</v>
      </c>
      <c r="I34">
        <v>1.33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K33"/>
  <sheetViews>
    <sheetView workbookViewId="0">
      <selection activeCell="E10" sqref="E10"/>
    </sheetView>
  </sheetViews>
  <sheetFormatPr defaultRowHeight="15" x14ac:dyDescent="0.25"/>
  <cols>
    <col min="2" max="2" width="57" bestFit="1" customWidth="1"/>
    <col min="3" max="3" width="11.28515625" bestFit="1" customWidth="1"/>
    <col min="5" max="5" width="12.28515625" bestFit="1" customWidth="1"/>
    <col min="6" max="6" width="11.140625" bestFit="1" customWidth="1"/>
    <col min="7" max="7" width="11.85546875" bestFit="1" customWidth="1"/>
    <col min="8" max="8" width="16.140625" bestFit="1" customWidth="1"/>
  </cols>
  <sheetData>
    <row r="1" spans="2:11" x14ac:dyDescent="0.25">
      <c r="B1" s="34"/>
      <c r="C1" s="34" t="s">
        <v>177</v>
      </c>
      <c r="D1" s="34" t="s">
        <v>166</v>
      </c>
      <c r="E1" s="34" t="s">
        <v>168</v>
      </c>
      <c r="F1" s="34" t="s">
        <v>167</v>
      </c>
      <c r="G1" s="34" t="s">
        <v>174</v>
      </c>
      <c r="H1" s="34" t="s">
        <v>216</v>
      </c>
      <c r="J1" s="34"/>
    </row>
    <row r="2" spans="2:11" x14ac:dyDescent="0.25">
      <c r="B2" s="34" t="s">
        <v>238</v>
      </c>
      <c r="C2" s="34" t="s">
        <v>178</v>
      </c>
      <c r="D2" s="34" t="s">
        <v>178</v>
      </c>
      <c r="E2" s="34">
        <f>E3/'COG utility'!O1</f>
        <v>0.20253455855581359</v>
      </c>
      <c r="F2" s="34">
        <f>F3/'NG utility'!R1</f>
        <v>0.14853542859870392</v>
      </c>
      <c r="G2" s="34">
        <f>G3/'BFG utility'!R1</f>
        <v>3.1218678661644081</v>
      </c>
      <c r="H2" s="34">
        <f>H3/'NG utility with WGS'!R1</f>
        <v>0.15087406541020112</v>
      </c>
      <c r="J2" s="34"/>
      <c r="K2" s="64"/>
    </row>
    <row r="3" spans="2:11" x14ac:dyDescent="0.25">
      <c r="B3" s="34" t="s">
        <v>182</v>
      </c>
      <c r="C3" s="34"/>
      <c r="D3" s="34"/>
      <c r="E3" s="34">
        <v>3387.07</v>
      </c>
      <c r="F3" s="34">
        <v>2484.02</v>
      </c>
      <c r="G3" s="34">
        <v>52208.3</v>
      </c>
      <c r="H3" s="34">
        <v>2523.13</v>
      </c>
      <c r="J3" s="34"/>
    </row>
    <row r="4" spans="2:11" x14ac:dyDescent="0.25">
      <c r="B4" s="34" t="s">
        <v>183</v>
      </c>
      <c r="C4" s="34"/>
      <c r="D4" s="34"/>
      <c r="E4" s="34">
        <f>'COG utility'!I4</f>
        <v>3766.6895200000026</v>
      </c>
      <c r="F4" s="34">
        <f>'NG utility'!I4</f>
        <v>4653.6386932282512</v>
      </c>
      <c r="G4" s="34">
        <f>'BFG utility'!I4</f>
        <v>4653.6386932282512</v>
      </c>
      <c r="H4" s="34">
        <f>'NG utility with WGS'!I4</f>
        <v>5256.8961822481506</v>
      </c>
      <c r="J4" s="34"/>
    </row>
    <row r="5" spans="2:11" x14ac:dyDescent="0.25">
      <c r="B5" s="34" t="s">
        <v>242</v>
      </c>
      <c r="C5" s="34"/>
      <c r="D5" s="34"/>
      <c r="E5" s="34">
        <f>'COG utility'!I4/'COG utility'!O1</f>
        <v>0.22523443541173044</v>
      </c>
      <c r="F5" s="34">
        <f>'NG utility'!I4/'NG utility'!R1</f>
        <v>0.27827079405245153</v>
      </c>
      <c r="G5" s="34">
        <f>'BFG utility'!I4/'BFG utility'!R1</f>
        <v>0.27827079405245153</v>
      </c>
      <c r="H5" s="34">
        <f>'NG utility with WGS'!I4/'NG utility with WGS'!I1</f>
        <v>0.22911507655699023</v>
      </c>
      <c r="J5" s="34"/>
    </row>
    <row r="6" spans="2:11" x14ac:dyDescent="0.25">
      <c r="B6" s="34" t="s">
        <v>243</v>
      </c>
      <c r="E6" s="34">
        <f>'COG utility'!I1*'COG utility'!I18/1000000</f>
        <v>145.24160000000001</v>
      </c>
      <c r="F6" s="34">
        <f>'NG utility'!I1*'NG utility'!I18/1000000</f>
        <v>180.044926913328</v>
      </c>
      <c r="G6" s="34">
        <f>'BFG utility'!I1*'BFG utility'!I18/1000000</f>
        <v>180.044926913328</v>
      </c>
      <c r="H6" s="34">
        <f>'NG utility with WGS'!I1*'NG utility with WGS'!I18/1000000</f>
        <v>183.55478866762562</v>
      </c>
      <c r="J6" s="34"/>
    </row>
    <row r="7" spans="2:11" x14ac:dyDescent="0.25">
      <c r="B7" s="34" t="s">
        <v>217</v>
      </c>
      <c r="C7" s="34"/>
      <c r="D7" s="34"/>
      <c r="E7" s="34">
        <f>'COG utility'!I1/'COG utility'!O1</f>
        <v>1.0856154190768148</v>
      </c>
      <c r="F7" s="34">
        <f>'NG utility'!I1/'NG utility'!R1</f>
        <v>1.3457545825966324</v>
      </c>
      <c r="G7" s="34">
        <f>'BFG utility'!I1/'BFG utility'!R1</f>
        <v>1.3457545825966324</v>
      </c>
      <c r="H7" s="34">
        <f>'NG utility with WGS'!I1/'NG utility with WGS'!R1</f>
        <v>1.371989215369154</v>
      </c>
      <c r="J7" s="34"/>
    </row>
    <row r="8" spans="2:11" x14ac:dyDescent="0.25">
      <c r="B8" s="34"/>
      <c r="C8" s="34"/>
      <c r="D8" s="34"/>
      <c r="E8" s="60"/>
      <c r="F8" s="60"/>
      <c r="G8" s="60"/>
      <c r="H8" s="60"/>
      <c r="J8" s="34"/>
    </row>
    <row r="9" spans="2:11" x14ac:dyDescent="0.25">
      <c r="B9" s="34"/>
      <c r="C9" s="34"/>
      <c r="D9" s="34"/>
      <c r="E9" s="34"/>
      <c r="F9" s="34"/>
      <c r="G9" s="34"/>
      <c r="H9" s="34"/>
      <c r="J9" s="34"/>
    </row>
    <row r="10" spans="2:11" x14ac:dyDescent="0.25">
      <c r="B10" s="34"/>
      <c r="C10" s="34"/>
      <c r="D10" s="34"/>
      <c r="E10" s="34"/>
      <c r="F10" s="34"/>
      <c r="G10" s="34"/>
      <c r="H10" s="34"/>
      <c r="J10" s="34"/>
    </row>
    <row r="11" spans="2:11" x14ac:dyDescent="0.25">
      <c r="B11" s="34"/>
      <c r="C11" s="34"/>
      <c r="D11" s="34"/>
      <c r="E11" s="60"/>
      <c r="F11" s="60"/>
      <c r="G11" s="60"/>
      <c r="H11" s="60"/>
      <c r="J11" s="34"/>
    </row>
    <row r="12" spans="2:11" x14ac:dyDescent="0.25">
      <c r="B12" s="34"/>
      <c r="C12" s="34"/>
      <c r="D12" s="34"/>
      <c r="E12" s="34"/>
      <c r="F12" s="34"/>
      <c r="G12" s="34"/>
      <c r="H12" s="34"/>
      <c r="J12" s="34"/>
    </row>
    <row r="13" spans="2:11" x14ac:dyDescent="0.25">
      <c r="B13" s="34"/>
      <c r="C13" s="34"/>
      <c r="D13" s="34"/>
      <c r="E13" s="34"/>
      <c r="F13" s="34"/>
      <c r="G13" s="34"/>
      <c r="H13" s="34"/>
      <c r="J13" s="34"/>
    </row>
    <row r="14" spans="2:11" x14ac:dyDescent="0.25">
      <c r="B14" s="34"/>
      <c r="C14" s="34"/>
      <c r="D14" s="34"/>
      <c r="E14" s="34"/>
      <c r="F14" s="34"/>
      <c r="G14" s="34"/>
      <c r="H14" s="34"/>
      <c r="J14" s="34"/>
    </row>
    <row r="15" spans="2:11" x14ac:dyDescent="0.25">
      <c r="B15" s="34"/>
      <c r="E15" s="34"/>
      <c r="F15" s="34"/>
      <c r="G15" s="34"/>
      <c r="H15" s="34"/>
      <c r="J15" s="34"/>
    </row>
    <row r="16" spans="2:11" x14ac:dyDescent="0.25">
      <c r="B16" s="34"/>
      <c r="E16" s="34"/>
      <c r="F16" s="34"/>
      <c r="G16" s="34"/>
      <c r="H16" s="34"/>
      <c r="J16" s="34"/>
    </row>
    <row r="17" spans="2:10" x14ac:dyDescent="0.25">
      <c r="B17" s="34"/>
      <c r="E17" s="34"/>
      <c r="F17" s="34"/>
      <c r="G17" s="34"/>
      <c r="H17" s="34"/>
      <c r="J17" s="34"/>
    </row>
    <row r="18" spans="2:10" x14ac:dyDescent="0.25">
      <c r="H18" s="34"/>
      <c r="J18" s="34"/>
    </row>
    <row r="19" spans="2:10" x14ac:dyDescent="0.25">
      <c r="H19" s="34"/>
      <c r="J19" s="34"/>
    </row>
    <row r="27" spans="2:10" x14ac:dyDescent="0.25">
      <c r="C27" s="34"/>
      <c r="D27" s="34"/>
      <c r="E27" s="34"/>
      <c r="F27" s="34"/>
      <c r="G27" s="34"/>
    </row>
    <row r="28" spans="2:10" x14ac:dyDescent="0.25">
      <c r="B28" s="53"/>
      <c r="C28" s="34"/>
      <c r="D28" s="34"/>
      <c r="E28" s="34"/>
      <c r="F28" s="34"/>
      <c r="G28" s="34"/>
    </row>
    <row r="29" spans="2:10" x14ac:dyDescent="0.25">
      <c r="B29" s="53"/>
      <c r="C29" s="34"/>
      <c r="D29" s="34"/>
      <c r="E29" s="34"/>
      <c r="F29" s="34"/>
      <c r="G29" s="34"/>
    </row>
    <row r="30" spans="2:10" x14ac:dyDescent="0.25">
      <c r="B30" s="53"/>
      <c r="C30" s="34"/>
      <c r="D30" s="34"/>
      <c r="E30" s="34"/>
      <c r="F30" s="34"/>
      <c r="G30" s="34"/>
    </row>
    <row r="31" spans="2:10" x14ac:dyDescent="0.25">
      <c r="B31" s="53"/>
      <c r="C31" s="34"/>
      <c r="D31" s="34"/>
      <c r="E31" s="34"/>
      <c r="F31" s="34"/>
      <c r="G31" s="34"/>
    </row>
    <row r="32" spans="2:10" x14ac:dyDescent="0.25">
      <c r="B32" s="53"/>
      <c r="C32" s="34"/>
      <c r="D32" s="34"/>
      <c r="E32" s="34"/>
      <c r="F32" s="34"/>
      <c r="G32" s="34"/>
    </row>
    <row r="33" spans="2:7" x14ac:dyDescent="0.25">
      <c r="B33" s="53"/>
      <c r="C33" s="34"/>
      <c r="D33" s="34"/>
      <c r="E33" s="34"/>
      <c r="F33" s="34"/>
      <c r="G33" s="34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1:T21"/>
  <sheetViews>
    <sheetView topLeftCell="C1" workbookViewId="0">
      <selection activeCell="O26" sqref="O26"/>
    </sheetView>
  </sheetViews>
  <sheetFormatPr defaultRowHeight="15" x14ac:dyDescent="0.25"/>
  <cols>
    <col min="3" max="3" width="47.42578125" bestFit="1" customWidth="1"/>
    <col min="4" max="6" width="12.5703125" bestFit="1" customWidth="1"/>
    <col min="7" max="7" width="16.140625" bestFit="1" customWidth="1"/>
  </cols>
  <sheetData>
    <row r="1" spans="3:20" x14ac:dyDescent="0.25">
      <c r="D1" s="34" t="s">
        <v>274</v>
      </c>
      <c r="E1" s="34" t="s">
        <v>275</v>
      </c>
      <c r="F1" s="34" t="s">
        <v>276</v>
      </c>
      <c r="G1" s="34" t="s">
        <v>277</v>
      </c>
      <c r="N1" t="s">
        <v>264</v>
      </c>
      <c r="O1" t="s">
        <v>265</v>
      </c>
      <c r="P1" t="s">
        <v>266</v>
      </c>
      <c r="Q1" t="s">
        <v>267</v>
      </c>
      <c r="R1" t="s">
        <v>268</v>
      </c>
    </row>
    <row r="2" spans="3:20" x14ac:dyDescent="0.25">
      <c r="C2" t="s">
        <v>261</v>
      </c>
      <c r="D2" s="34">
        <f>'COG utility'!P22/1000000</f>
        <v>214.28822380000003</v>
      </c>
      <c r="E2" s="34">
        <f>'NG utility'!O3/1000000</f>
        <v>214.28822380000003</v>
      </c>
      <c r="F2" s="34">
        <f>'BFG utility'!O3/1000000</f>
        <v>214.28822380000003</v>
      </c>
      <c r="G2" s="34">
        <f>'NG utility with WGS'!O3/1000000</f>
        <v>214.28822380000003</v>
      </c>
      <c r="M2" s="67" t="s">
        <v>258</v>
      </c>
      <c r="N2">
        <v>1.27</v>
      </c>
      <c r="O2">
        <v>1</v>
      </c>
      <c r="P2">
        <v>0.90500000000000003</v>
      </c>
      <c r="Q2">
        <v>8.57</v>
      </c>
      <c r="R2">
        <v>3.47</v>
      </c>
    </row>
    <row r="3" spans="3:20" ht="25.5" x14ac:dyDescent="0.35">
      <c r="C3" t="s">
        <v>262</v>
      </c>
      <c r="D3" s="34">
        <f>'COG utility'!I1*'COG utility'!I18/1000000</f>
        <v>145.24160000000001</v>
      </c>
      <c r="E3" s="34">
        <f>'NG utility'!I1*'NG utility'!I18/1000000</f>
        <v>180.044926913328</v>
      </c>
      <c r="F3" s="34">
        <f>'BFG utility'!I1*'BFG utility'!I18/1000000</f>
        <v>180.044926913328</v>
      </c>
      <c r="G3" s="34">
        <f>'NG utility with WGS'!I1*'NG utility with WGS'!I18/1000000</f>
        <v>183.55478866762562</v>
      </c>
      <c r="M3" s="67" t="s">
        <v>291</v>
      </c>
      <c r="N3">
        <f>18/N9</f>
        <v>13.533834586466165</v>
      </c>
      <c r="O3">
        <v>0</v>
      </c>
      <c r="P3">
        <v>29.3</v>
      </c>
      <c r="Q3">
        <v>3.7</v>
      </c>
      <c r="R3">
        <v>0</v>
      </c>
    </row>
    <row r="4" spans="3:20" ht="25.5" x14ac:dyDescent="0.25">
      <c r="C4" t="s">
        <v>170</v>
      </c>
      <c r="D4" s="34">
        <f>FCI!C44</f>
        <v>142.81541628145024</v>
      </c>
      <c r="E4" s="34">
        <f>FCI!D44</f>
        <v>159.93644544045046</v>
      </c>
      <c r="F4" s="34">
        <f>FCI!E44</f>
        <v>159.93644544045046</v>
      </c>
      <c r="G4" s="34">
        <f>FCI!F44</f>
        <v>169.34012531049908</v>
      </c>
      <c r="M4" s="67" t="s">
        <v>334</v>
      </c>
      <c r="N4">
        <f>100*1.12/N9</f>
        <v>84.21052631578948</v>
      </c>
      <c r="O4">
        <f>100*1.08/O9</f>
        <v>108</v>
      </c>
      <c r="P4">
        <f>100*1.75/P9</f>
        <v>194.44444444444443</v>
      </c>
      <c r="Q4">
        <f>100*30.76/Q9</f>
        <v>164.66809421841543</v>
      </c>
      <c r="R4">
        <f>100*6.6/R9</f>
        <v>99.397590361445793</v>
      </c>
    </row>
    <row r="5" spans="3:20" ht="25.5" x14ac:dyDescent="0.25">
      <c r="C5" t="s">
        <v>259</v>
      </c>
      <c r="D5" s="34">
        <f>'Maintenance &amp; Operations cost'!H$30/1000000</f>
        <v>30.909493862952708</v>
      </c>
      <c r="E5" s="34">
        <f>'Maintenance &amp; Operations cost'!I$30/1000000</f>
        <v>36.617569490339299</v>
      </c>
      <c r="F5" s="34">
        <f>'Maintenance &amp; Operations cost'!J$30/1000000</f>
        <v>36.617569490339299</v>
      </c>
      <c r="G5" s="34">
        <f>'Maintenance &amp; Operations cost'!K$30/1000000</f>
        <v>38.889251482100939</v>
      </c>
      <c r="M5" s="67" t="s">
        <v>292</v>
      </c>
      <c r="N5">
        <v>469</v>
      </c>
      <c r="O5">
        <v>469</v>
      </c>
      <c r="P5">
        <v>428</v>
      </c>
      <c r="Q5">
        <v>469</v>
      </c>
      <c r="R5">
        <v>430</v>
      </c>
      <c r="S5" s="67" t="s">
        <v>260</v>
      </c>
      <c r="T5" s="67"/>
    </row>
    <row r="6" spans="3:20" ht="38.25" x14ac:dyDescent="0.25">
      <c r="C6" t="s">
        <v>263</v>
      </c>
      <c r="D6" s="34">
        <f>'COG utility'!I6*'COG utility'!I18/1000000</f>
        <v>-215.58408495630576</v>
      </c>
      <c r="E6" s="34">
        <f>'NG utility'!I6*'NG utility'!I18/1000000</f>
        <v>-197.83818329806041</v>
      </c>
      <c r="F6" s="34">
        <f>'BFG utility'!I6*'BFG utility'!I18/1000000</f>
        <v>-197.83818329806041</v>
      </c>
      <c r="G6" s="34">
        <f>'NG utility with WGS'!I6*'NG utility with WGS'!I18/1000000</f>
        <v>-198.13580391679398</v>
      </c>
      <c r="M6" s="67" t="s">
        <v>269</v>
      </c>
      <c r="N6">
        <v>1</v>
      </c>
      <c r="O6">
        <v>1</v>
      </c>
      <c r="P6">
        <v>1</v>
      </c>
      <c r="Q6">
        <v>1</v>
      </c>
      <c r="R6">
        <v>1</v>
      </c>
    </row>
    <row r="7" spans="3:20" ht="38.25" x14ac:dyDescent="0.25">
      <c r="L7" s="67" t="s">
        <v>260</v>
      </c>
      <c r="M7" s="67" t="s">
        <v>290</v>
      </c>
      <c r="N7">
        <v>40</v>
      </c>
      <c r="O7">
        <v>588</v>
      </c>
      <c r="P7">
        <v>285</v>
      </c>
      <c r="Q7">
        <v>856</v>
      </c>
      <c r="R7">
        <v>1064</v>
      </c>
    </row>
    <row r="8" spans="3:20" x14ac:dyDescent="0.25">
      <c r="L8" s="67" t="s">
        <v>260</v>
      </c>
      <c r="M8" s="67" t="s">
        <v>127</v>
      </c>
      <c r="N8">
        <f>'COG utility'!I17</f>
        <v>6.5659796367074357</v>
      </c>
      <c r="O8">
        <f>'COG utility'!I17</f>
        <v>6.5659796367074357</v>
      </c>
      <c r="P8">
        <f>'COG utility'!I17</f>
        <v>6.5659796367074357</v>
      </c>
      <c r="Q8">
        <f>'COG utility'!I17</f>
        <v>6.5659796367074357</v>
      </c>
      <c r="R8">
        <f>'COG utility'!I17</f>
        <v>6.5659796367074357</v>
      </c>
    </row>
    <row r="9" spans="3:20" ht="38.25" x14ac:dyDescent="0.25">
      <c r="L9" s="55" t="s">
        <v>260</v>
      </c>
      <c r="M9" s="69" t="s">
        <v>269</v>
      </c>
      <c r="N9" s="70">
        <v>1.33</v>
      </c>
      <c r="O9" s="70">
        <v>1</v>
      </c>
      <c r="P9" s="70">
        <v>0.9</v>
      </c>
      <c r="Q9" s="70">
        <v>18.68</v>
      </c>
      <c r="R9" s="70">
        <v>6.64</v>
      </c>
    </row>
    <row r="12" spans="3:20" x14ac:dyDescent="0.25">
      <c r="D12" s="34"/>
      <c r="E12" s="34"/>
      <c r="F12" s="34"/>
      <c r="G12" s="34"/>
    </row>
    <row r="13" spans="3:20" x14ac:dyDescent="0.25">
      <c r="D13" s="34"/>
      <c r="E13" s="34"/>
      <c r="F13" s="34"/>
      <c r="G13" s="34"/>
    </row>
    <row r="14" spans="3:20" x14ac:dyDescent="0.25">
      <c r="D14" s="34"/>
      <c r="E14" s="34"/>
      <c r="F14" s="34"/>
      <c r="G14" s="34"/>
    </row>
    <row r="15" spans="3:20" x14ac:dyDescent="0.25">
      <c r="D15" s="68"/>
      <c r="E15" s="68"/>
      <c r="F15" s="68"/>
      <c r="G15" s="68"/>
    </row>
    <row r="16" spans="3:20" x14ac:dyDescent="0.25">
      <c r="M16" s="4"/>
      <c r="N16" s="4"/>
      <c r="O16" s="4"/>
      <c r="P16" s="4"/>
      <c r="Q16" s="4"/>
      <c r="R16" s="4"/>
    </row>
    <row r="17" spans="13:18" x14ac:dyDescent="0.25">
      <c r="M17" s="72"/>
      <c r="N17" s="4"/>
      <c r="O17" s="4"/>
      <c r="P17" s="4"/>
      <c r="Q17" s="4"/>
      <c r="R17" s="4"/>
    </row>
    <row r="18" spans="13:18" x14ac:dyDescent="0.25">
      <c r="M18" s="72"/>
      <c r="N18" s="4"/>
      <c r="O18" s="4"/>
      <c r="P18" s="4"/>
      <c r="Q18" s="4"/>
      <c r="R18" s="4"/>
    </row>
    <row r="19" spans="13:18" x14ac:dyDescent="0.25">
      <c r="M19" s="72"/>
      <c r="N19" s="4"/>
      <c r="O19" s="4"/>
      <c r="P19" s="4"/>
      <c r="Q19" s="4"/>
      <c r="R19" s="4"/>
    </row>
    <row r="20" spans="13:18" x14ac:dyDescent="0.25">
      <c r="M20" s="72"/>
      <c r="N20" s="4"/>
      <c r="O20" s="4"/>
      <c r="P20" s="4"/>
      <c r="Q20" s="4"/>
      <c r="R20" s="4"/>
    </row>
    <row r="21" spans="13:18" x14ac:dyDescent="0.25">
      <c r="M21" s="72"/>
      <c r="N21" s="73"/>
      <c r="O21" s="73"/>
      <c r="P21" s="73"/>
      <c r="Q21" s="73"/>
      <c r="R21" s="7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FCI</vt:lpstr>
      <vt:lpstr>CEPCI</vt:lpstr>
      <vt:lpstr>Maintenance &amp; Operations cost</vt:lpstr>
      <vt:lpstr>COG utility</vt:lpstr>
      <vt:lpstr>BFG utility</vt:lpstr>
      <vt:lpstr>NG utility with WGS</vt:lpstr>
      <vt:lpstr>NG utility</vt:lpstr>
      <vt:lpstr>MeOH VS. Status quo and CCPP</vt:lpstr>
      <vt:lpstr>NPV_sensitivity</vt:lpstr>
      <vt:lpstr>Ssensitivity_result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2019-04-03T18:17:01Z</dcterms:modified>
</cp:coreProperties>
</file>